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8.21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'2021'!$A$1:$X$125</definedName>
    <definedName name="Print_Titles" localSheetId="0">'2021'!$3:$5</definedName>
    <definedName name="_xlnm.Print_Titles" localSheetId="0">'2021'!$3:$5</definedName>
    <definedName name="_xlnm.Print_Area" localSheetId="0">'2021'!$A$1:$X$149</definedName>
  </definedNames>
  <calcPr calcId="152511"/>
</workbook>
</file>

<file path=xl/calcChain.xml><?xml version="1.0" encoding="utf-8"?>
<calcChain xmlns="http://schemas.openxmlformats.org/spreadsheetml/2006/main">
  <c r="O101" i="22" l="1"/>
  <c r="H101" i="22"/>
  <c r="I101" i="22"/>
  <c r="J101" i="22"/>
  <c r="K101" i="22"/>
  <c r="L101" i="22"/>
  <c r="M101" i="22"/>
  <c r="G101" i="22"/>
  <c r="D101" i="22"/>
  <c r="E101" i="22"/>
  <c r="R90" i="22" l="1"/>
  <c r="R88" i="22"/>
  <c r="R87" i="22"/>
  <c r="R86" i="22"/>
  <c r="R85" i="22"/>
  <c r="R83" i="22"/>
  <c r="R82" i="22"/>
  <c r="R81" i="22"/>
  <c r="R80" i="22"/>
  <c r="R78" i="22"/>
  <c r="R46" i="22"/>
  <c r="R45" i="22"/>
  <c r="R44" i="22"/>
  <c r="R43" i="22"/>
  <c r="R42" i="22"/>
  <c r="R40" i="22"/>
  <c r="R39" i="22"/>
  <c r="R38" i="22"/>
  <c r="R37" i="22"/>
  <c r="R36" i="22"/>
  <c r="R35" i="22"/>
  <c r="R34" i="22"/>
  <c r="R32" i="22"/>
  <c r="R31" i="22"/>
  <c r="R30" i="22"/>
  <c r="R29" i="22"/>
  <c r="R28" i="22"/>
  <c r="R26" i="22"/>
  <c r="R25" i="22"/>
  <c r="R24" i="22"/>
  <c r="R23" i="22"/>
  <c r="R22" i="22"/>
  <c r="R19" i="22"/>
  <c r="R17" i="22"/>
  <c r="R16" i="22"/>
  <c r="R15" i="22"/>
  <c r="R12" i="22"/>
  <c r="R11" i="22"/>
  <c r="R8" i="22"/>
  <c r="R7" i="22"/>
  <c r="F15" i="22"/>
  <c r="F13" i="22"/>
  <c r="F12" i="22"/>
  <c r="F11" i="22"/>
  <c r="F10" i="22"/>
  <c r="F8" i="22"/>
  <c r="F7" i="22"/>
  <c r="L118" i="22"/>
  <c r="L100" i="22"/>
  <c r="L99" i="22" s="1"/>
  <c r="L84" i="22"/>
  <c r="L77" i="22"/>
  <c r="L91" i="22" s="1"/>
  <c r="L73" i="22"/>
  <c r="L72" i="22"/>
  <c r="L71" i="22" s="1"/>
  <c r="L70" i="22"/>
  <c r="L60" i="22"/>
  <c r="L33" i="22"/>
  <c r="L18" i="22"/>
  <c r="L14" i="22"/>
  <c r="L9" i="22"/>
  <c r="L47" i="22" s="1"/>
  <c r="L107" i="22" l="1"/>
  <c r="L68" i="22"/>
  <c r="L115" i="22" s="1"/>
  <c r="L117" i="22"/>
  <c r="L116" i="22" s="1"/>
  <c r="L120" i="22"/>
  <c r="L132" i="22" s="1"/>
  <c r="L93" i="22"/>
  <c r="L109" i="22" s="1"/>
  <c r="L111" i="22" s="1"/>
  <c r="L103" i="22"/>
  <c r="L105" i="22" s="1"/>
  <c r="L75" i="22" l="1"/>
  <c r="L122" i="22"/>
  <c r="R96" i="22"/>
  <c r="S96" i="22"/>
  <c r="P96" i="22"/>
  <c r="R89" i="22"/>
  <c r="F89" i="22"/>
  <c r="P89" i="22" s="1"/>
  <c r="F96" i="22"/>
  <c r="S89" i="22" l="1"/>
  <c r="E64" i="22"/>
  <c r="E41" i="22"/>
  <c r="R41" i="22" s="1"/>
  <c r="E27" i="22"/>
  <c r="R27" i="22" s="1"/>
  <c r="E21" i="22"/>
  <c r="R21" i="22" s="1"/>
  <c r="E20" i="22"/>
  <c r="R20" i="22" s="1"/>
  <c r="E13" i="22"/>
  <c r="R13" i="22" s="1"/>
  <c r="E10" i="22"/>
  <c r="R10" i="22" s="1"/>
  <c r="V101" i="22" l="1"/>
  <c r="W96" i="22"/>
  <c r="A96" i="22"/>
  <c r="A97" i="22" s="1"/>
  <c r="V84" i="22"/>
  <c r="W89" i="22"/>
  <c r="K100" i="22" l="1"/>
  <c r="K99" i="22" s="1"/>
  <c r="K84" i="22"/>
  <c r="K77" i="22"/>
  <c r="K91" i="22" s="1"/>
  <c r="K72" i="22"/>
  <c r="K117" i="22" s="1"/>
  <c r="K70" i="22"/>
  <c r="K62" i="22"/>
  <c r="K60" i="22" s="1"/>
  <c r="K73" i="22" s="1"/>
  <c r="K118" i="22" s="1"/>
  <c r="K61" i="22"/>
  <c r="K33" i="22"/>
  <c r="K18" i="22"/>
  <c r="K14" i="22"/>
  <c r="K9" i="22"/>
  <c r="K116" i="22" l="1"/>
  <c r="K71" i="22"/>
  <c r="K68" i="22" s="1"/>
  <c r="K115" i="22"/>
  <c r="K47" i="22"/>
  <c r="K93" i="22"/>
  <c r="K103" i="22"/>
  <c r="K105" i="22" s="1"/>
  <c r="K75" i="22" l="1"/>
  <c r="K122" i="22" s="1"/>
  <c r="K109" i="22"/>
  <c r="K111" i="22" s="1"/>
  <c r="K107" i="22"/>
  <c r="K120" i="22" s="1"/>
  <c r="K132" i="22" s="1"/>
  <c r="E9" i="22"/>
  <c r="R9" i="22" s="1"/>
  <c r="M60" i="22"/>
  <c r="R50" i="22" l="1"/>
  <c r="J100" i="22"/>
  <c r="J99" i="22"/>
  <c r="J84" i="22"/>
  <c r="J77" i="22"/>
  <c r="J91" i="22" s="1"/>
  <c r="J72" i="22"/>
  <c r="J70" i="22"/>
  <c r="J60" i="22"/>
  <c r="J73" i="22" s="1"/>
  <c r="J118" i="22" s="1"/>
  <c r="J33" i="22"/>
  <c r="J18" i="22"/>
  <c r="J14" i="22"/>
  <c r="J9" i="22"/>
  <c r="O72" i="22"/>
  <c r="M72" i="22"/>
  <c r="I72" i="22"/>
  <c r="H72" i="22"/>
  <c r="G72" i="22"/>
  <c r="E72" i="22"/>
  <c r="F50" i="22"/>
  <c r="R54" i="22"/>
  <c r="F54" i="22"/>
  <c r="W54" i="22" s="1"/>
  <c r="R58" i="22"/>
  <c r="F58" i="22"/>
  <c r="W58" i="22" s="1"/>
  <c r="A59" i="22"/>
  <c r="A60" i="22" s="1"/>
  <c r="S50" i="22" l="1"/>
  <c r="W50" i="22"/>
  <c r="Q50" i="22"/>
  <c r="N50" i="22"/>
  <c r="T50" i="22"/>
  <c r="P50" i="22"/>
  <c r="J47" i="22"/>
  <c r="J107" i="22" s="1"/>
  <c r="J117" i="22"/>
  <c r="J116" i="22" s="1"/>
  <c r="J103" i="22"/>
  <c r="J105" i="22" s="1"/>
  <c r="J93" i="22"/>
  <c r="J71" i="22"/>
  <c r="J68" i="22" s="1"/>
  <c r="S58" i="22"/>
  <c r="S54" i="22"/>
  <c r="P54" i="22"/>
  <c r="J109" i="22" l="1"/>
  <c r="J111" i="22" s="1"/>
  <c r="J115" i="22"/>
  <c r="J120" i="22" s="1"/>
  <c r="J132" i="22" s="1"/>
  <c r="J75" i="22"/>
  <c r="J122" i="22" s="1"/>
  <c r="R66" i="22" l="1"/>
  <c r="F66" i="22"/>
  <c r="D60" i="22"/>
  <c r="T66" i="22" l="1"/>
  <c r="N66" i="22"/>
  <c r="W66" i="22"/>
  <c r="Q66" i="22"/>
  <c r="S66" i="22"/>
  <c r="P66" i="22"/>
  <c r="I100" i="22" l="1"/>
  <c r="I84" i="22"/>
  <c r="I77" i="22"/>
  <c r="I91" i="22" s="1"/>
  <c r="I70" i="22"/>
  <c r="I60" i="22"/>
  <c r="I73" i="22" s="1"/>
  <c r="I33" i="22"/>
  <c r="I18" i="22"/>
  <c r="I14" i="22"/>
  <c r="I9" i="22"/>
  <c r="I71" i="22" l="1"/>
  <c r="I68" i="22" s="1"/>
  <c r="I117" i="22"/>
  <c r="I99" i="22"/>
  <c r="I103" i="22" s="1"/>
  <c r="I105" i="22" s="1"/>
  <c r="I118" i="22"/>
  <c r="I47" i="22"/>
  <c r="I93" i="22"/>
  <c r="I115" i="22" l="1"/>
  <c r="I116" i="22"/>
  <c r="I109" i="22"/>
  <c r="I111" i="22" s="1"/>
  <c r="I107" i="22"/>
  <c r="I75" i="22"/>
  <c r="I122" i="22" s="1"/>
  <c r="R97" i="22"/>
  <c r="R64" i="22"/>
  <c r="F43" i="22"/>
  <c r="S43" i="22" s="1"/>
  <c r="F32" i="22"/>
  <c r="H100" i="22"/>
  <c r="H84" i="22"/>
  <c r="H77" i="22"/>
  <c r="H91" i="22" s="1"/>
  <c r="H70" i="22"/>
  <c r="H60" i="22"/>
  <c r="H73" i="22" s="1"/>
  <c r="H71" i="22" s="1"/>
  <c r="H68" i="22" s="1"/>
  <c r="H33" i="22"/>
  <c r="H18" i="22"/>
  <c r="H14" i="22"/>
  <c r="H9" i="22"/>
  <c r="F97" i="22"/>
  <c r="W97" i="22" s="1"/>
  <c r="F64" i="22"/>
  <c r="P64" i="22" s="1"/>
  <c r="I120" i="22" l="1"/>
  <c r="I132" i="22" s="1"/>
  <c r="N32" i="22"/>
  <c r="T32" i="22"/>
  <c r="S32" i="22"/>
  <c r="Q32" i="22"/>
  <c r="H99" i="22"/>
  <c r="H115" i="22" s="1"/>
  <c r="H117" i="22"/>
  <c r="H118" i="22"/>
  <c r="H116" i="22" s="1"/>
  <c r="P97" i="22"/>
  <c r="W43" i="22"/>
  <c r="W64" i="22"/>
  <c r="P43" i="22"/>
  <c r="N64" i="22"/>
  <c r="W32" i="22"/>
  <c r="H47" i="22"/>
  <c r="H107" i="22" s="1"/>
  <c r="S97" i="22"/>
  <c r="S64" i="22"/>
  <c r="T64" i="22"/>
  <c r="Q64" i="22"/>
  <c r="P32" i="22"/>
  <c r="H93" i="22"/>
  <c r="H120" i="22" l="1"/>
  <c r="H132" i="22" s="1"/>
  <c r="H103" i="22"/>
  <c r="H105" i="22" s="1"/>
  <c r="H75" i="22"/>
  <c r="H109" i="22"/>
  <c r="H111" i="22" s="1"/>
  <c r="H122" i="22" l="1"/>
  <c r="A25" i="22"/>
  <c r="O100" i="22" l="1"/>
  <c r="O99" i="22" s="1"/>
  <c r="V9" i="22" l="1"/>
  <c r="O9" i="22"/>
  <c r="M9" i="22"/>
  <c r="G9" i="22"/>
  <c r="M33" i="22"/>
  <c r="M18" i="22"/>
  <c r="M14" i="22"/>
  <c r="M73" i="22"/>
  <c r="M118" i="22" s="1"/>
  <c r="M70" i="22"/>
  <c r="M77" i="22"/>
  <c r="M91" i="22" s="1"/>
  <c r="M93" i="22" s="1"/>
  <c r="M84" i="22"/>
  <c r="M100" i="22"/>
  <c r="F113" i="22"/>
  <c r="F101" i="22"/>
  <c r="X101" i="22" s="1"/>
  <c r="F95" i="22"/>
  <c r="X95" i="22" s="1"/>
  <c r="F90" i="22"/>
  <c r="F88" i="22"/>
  <c r="F87" i="22"/>
  <c r="Q87" i="22" s="1"/>
  <c r="F86" i="22"/>
  <c r="F85" i="22"/>
  <c r="F83" i="22"/>
  <c r="X83" i="22" s="1"/>
  <c r="F82" i="22"/>
  <c r="X82" i="22" s="1"/>
  <c r="F81" i="22"/>
  <c r="F80" i="22"/>
  <c r="F79" i="22"/>
  <c r="F78" i="22"/>
  <c r="F65" i="22"/>
  <c r="F63" i="22"/>
  <c r="X63" i="22" s="1"/>
  <c r="F62" i="22"/>
  <c r="X62" i="22" s="1"/>
  <c r="F61" i="22"/>
  <c r="X61" i="22" s="1"/>
  <c r="F59" i="22"/>
  <c r="X59" i="22" s="1"/>
  <c r="F57" i="22"/>
  <c r="F56" i="22"/>
  <c r="F53" i="22"/>
  <c r="X53" i="22" s="1"/>
  <c r="F52" i="22"/>
  <c r="F51" i="22"/>
  <c r="F49" i="22"/>
  <c r="F48" i="22"/>
  <c r="F46" i="22"/>
  <c r="F45" i="22"/>
  <c r="X45" i="22" s="1"/>
  <c r="F44" i="22"/>
  <c r="F42" i="22"/>
  <c r="F41" i="22"/>
  <c r="Q41" i="22" s="1"/>
  <c r="F40" i="22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X25" i="22" s="1"/>
  <c r="F24" i="22"/>
  <c r="F23" i="22"/>
  <c r="F22" i="22"/>
  <c r="F21" i="22"/>
  <c r="F20" i="22"/>
  <c r="F19" i="22"/>
  <c r="F17" i="22"/>
  <c r="F16" i="22"/>
  <c r="T11" i="22"/>
  <c r="O113" i="22" l="1"/>
  <c r="R113" i="22" s="1"/>
  <c r="F9" i="22"/>
  <c r="X85" i="22"/>
  <c r="Q85" i="22"/>
  <c r="Q81" i="22"/>
  <c r="X81" i="22"/>
  <c r="T40" i="22"/>
  <c r="N40" i="22"/>
  <c r="N10" i="22"/>
  <c r="T10" i="22"/>
  <c r="W10" i="22"/>
  <c r="Q10" i="22"/>
  <c r="Q86" i="22"/>
  <c r="N86" i="22"/>
  <c r="T86" i="22"/>
  <c r="Q27" i="22"/>
  <c r="X27" i="22"/>
  <c r="X15" i="22"/>
  <c r="Q15" i="22"/>
  <c r="X16" i="22"/>
  <c r="Q16" i="22"/>
  <c r="M47" i="22"/>
  <c r="M109" i="22" s="1"/>
  <c r="M111" i="22" s="1"/>
  <c r="P24" i="22"/>
  <c r="S24" i="22"/>
  <c r="X11" i="22"/>
  <c r="Q11" i="22"/>
  <c r="Q13" i="22"/>
  <c r="X13" i="22"/>
  <c r="P10" i="22"/>
  <c r="S10" i="22"/>
  <c r="M117" i="22"/>
  <c r="M116" i="22" s="1"/>
  <c r="M71" i="22"/>
  <c r="M99" i="22"/>
  <c r="M103" i="22" s="1"/>
  <c r="M105" i="22" s="1"/>
  <c r="W24" i="22"/>
  <c r="M107" i="22" l="1"/>
  <c r="M68" i="22"/>
  <c r="R59" i="22"/>
  <c r="R48" i="22"/>
  <c r="V18" i="22"/>
  <c r="W59" i="22"/>
  <c r="O18" i="22"/>
  <c r="G18" i="22"/>
  <c r="F18" i="22" s="1"/>
  <c r="G100" i="22"/>
  <c r="F100" i="22" s="1"/>
  <c r="E100" i="22"/>
  <c r="E99" i="22" s="1"/>
  <c r="O70" i="22"/>
  <c r="F72" i="22"/>
  <c r="G70" i="22"/>
  <c r="F70" i="22" s="1"/>
  <c r="E70" i="22"/>
  <c r="O60" i="22"/>
  <c r="G60" i="22"/>
  <c r="F60" i="22" s="1"/>
  <c r="E60" i="22"/>
  <c r="E33" i="22"/>
  <c r="R33" i="22" s="1"/>
  <c r="E18" i="22"/>
  <c r="R18" i="22" s="1"/>
  <c r="E14" i="22"/>
  <c r="R14" i="22" s="1"/>
  <c r="G99" i="22" l="1"/>
  <c r="F99" i="22" s="1"/>
  <c r="R47" i="22"/>
  <c r="E47" i="22"/>
  <c r="R132" i="22" s="1"/>
  <c r="M75" i="22"/>
  <c r="M122" i="22" s="1"/>
  <c r="M115" i="22"/>
  <c r="G117" i="22"/>
  <c r="F117" i="22" s="1"/>
  <c r="T59" i="22"/>
  <c r="Q59" i="22"/>
  <c r="N59" i="22"/>
  <c r="P59" i="22"/>
  <c r="S59" i="22"/>
  <c r="O117" i="22"/>
  <c r="M120" i="22" l="1"/>
  <c r="M132" i="22" s="1"/>
  <c r="D55" i="22" l="1"/>
  <c r="D73" i="22" s="1"/>
  <c r="G55" i="22"/>
  <c r="F55" i="22" s="1"/>
  <c r="O55" i="22"/>
  <c r="P56" i="22"/>
  <c r="R56" i="22"/>
  <c r="E57" i="22"/>
  <c r="R57" i="22"/>
  <c r="AA57" i="22"/>
  <c r="D21" i="22"/>
  <c r="D19" i="22"/>
  <c r="E55" i="22" l="1"/>
  <c r="E73" i="22" s="1"/>
  <c r="E71" i="22" s="1"/>
  <c r="E68" i="22" s="1"/>
  <c r="E75" i="22" s="1"/>
  <c r="R55" i="22"/>
  <c r="O73" i="22"/>
  <c r="W55" i="22"/>
  <c r="G73" i="22"/>
  <c r="F73" i="22" s="1"/>
  <c r="P57" i="22"/>
  <c r="W56" i="22"/>
  <c r="W57" i="22"/>
  <c r="S57" i="22"/>
  <c r="S56" i="22"/>
  <c r="D18" i="22"/>
  <c r="O71" i="22" l="1"/>
  <c r="O68" i="22" s="1"/>
  <c r="O115" i="22" s="1"/>
  <c r="O118" i="22"/>
  <c r="O116" i="22" s="1"/>
  <c r="P55" i="22"/>
  <c r="G71" i="22"/>
  <c r="G118" i="22"/>
  <c r="S55" i="22"/>
  <c r="G68" i="22" l="1"/>
  <c r="F71" i="22"/>
  <c r="G116" i="22"/>
  <c r="F116" i="22" s="1"/>
  <c r="F118" i="22"/>
  <c r="V100" i="22"/>
  <c r="X100" i="22" s="1"/>
  <c r="V77" i="22"/>
  <c r="V91" i="22" s="1"/>
  <c r="V72" i="22"/>
  <c r="V70" i="22"/>
  <c r="V60" i="22"/>
  <c r="V73" i="22" s="1"/>
  <c r="V33" i="22"/>
  <c r="V14" i="22"/>
  <c r="V47" i="22" s="1"/>
  <c r="G115" i="22" l="1"/>
  <c r="F115" i="22" s="1"/>
  <c r="F68" i="22"/>
  <c r="V118" i="22"/>
  <c r="V99" i="22"/>
  <c r="V71" i="22"/>
  <c r="V68" i="22" s="1"/>
  <c r="V93" i="22"/>
  <c r="V117" i="22"/>
  <c r="Y18" i="22"/>
  <c r="Y15" i="22"/>
  <c r="V103" i="22" l="1"/>
  <c r="Z103" i="22" s="1"/>
  <c r="X99" i="22"/>
  <c r="V75" i="22"/>
  <c r="V120" i="22" s="1"/>
  <c r="V109" i="22"/>
  <c r="V111" i="22" s="1"/>
  <c r="V116" i="22"/>
  <c r="V115" i="22"/>
  <c r="V107" i="22"/>
  <c r="V105" i="22" l="1"/>
  <c r="V122" i="22" s="1"/>
  <c r="X113" i="22"/>
  <c r="D100" i="22"/>
  <c r="D99" i="22" s="1"/>
  <c r="R95" i="22"/>
  <c r="R100" i="22" s="1"/>
  <c r="P88" i="22"/>
  <c r="P87" i="22"/>
  <c r="O84" i="22"/>
  <c r="G84" i="22"/>
  <c r="F84" i="22" s="1"/>
  <c r="D84" i="22"/>
  <c r="P82" i="22"/>
  <c r="P80" i="22"/>
  <c r="A81" i="22"/>
  <c r="A82" i="22" s="1"/>
  <c r="A83" i="22" s="1"/>
  <c r="A84" i="22" s="1"/>
  <c r="X79" i="22"/>
  <c r="W78" i="22"/>
  <c r="R77" i="22"/>
  <c r="O77" i="22"/>
  <c r="O91" i="22" s="1"/>
  <c r="G77" i="22"/>
  <c r="F77" i="22" s="1"/>
  <c r="D77" i="22"/>
  <c r="D91" i="22" s="1"/>
  <c r="D72" i="22"/>
  <c r="D70" i="22"/>
  <c r="R65" i="22"/>
  <c r="R63" i="22"/>
  <c r="W63" i="22"/>
  <c r="R62" i="22"/>
  <c r="P62" i="22"/>
  <c r="R61" i="22"/>
  <c r="W61" i="22"/>
  <c r="Z60" i="22"/>
  <c r="R53" i="22"/>
  <c r="P53" i="22"/>
  <c r="R52" i="22"/>
  <c r="Q52" i="22"/>
  <c r="R51" i="22"/>
  <c r="R70" i="22" s="1"/>
  <c r="P51" i="22"/>
  <c r="R49" i="22"/>
  <c r="R72" i="22" s="1"/>
  <c r="Q48" i="22"/>
  <c r="A49" i="22"/>
  <c r="N45" i="22"/>
  <c r="N42" i="22"/>
  <c r="W41" i="22"/>
  <c r="W40" i="22"/>
  <c r="Q39" i="22"/>
  <c r="A39" i="22"/>
  <c r="A40" i="22" s="1"/>
  <c r="A41" i="22" s="1"/>
  <c r="P38" i="22"/>
  <c r="Q36" i="22"/>
  <c r="N35" i="22"/>
  <c r="X34" i="22"/>
  <c r="Y34" i="22" s="1"/>
  <c r="O33" i="22"/>
  <c r="G33" i="22"/>
  <c r="F33" i="22" s="1"/>
  <c r="D33" i="22"/>
  <c r="X31" i="22"/>
  <c r="N26" i="22"/>
  <c r="Q25" i="22"/>
  <c r="A26" i="22"/>
  <c r="A27" i="22" s="1"/>
  <c r="A28" i="22" s="1"/>
  <c r="A29" i="22" s="1"/>
  <c r="A30" i="22" s="1"/>
  <c r="A31" i="22" s="1"/>
  <c r="A32" i="22" s="1"/>
  <c r="A33" i="22" s="1"/>
  <c r="Q23" i="22"/>
  <c r="N22" i="22"/>
  <c r="X21" i="22"/>
  <c r="Y21" i="22" s="1"/>
  <c r="O14" i="22"/>
  <c r="G14" i="22"/>
  <c r="D14" i="22"/>
  <c r="D9" i="22"/>
  <c r="AA8" i="22"/>
  <c r="AB8" i="22" s="1"/>
  <c r="X8" i="22"/>
  <c r="A8" i="22"/>
  <c r="AB7" i="22"/>
  <c r="AA7" i="22"/>
  <c r="C5" i="22"/>
  <c r="D5" i="22" s="1"/>
  <c r="F5" i="22" s="1"/>
  <c r="G5" i="22" s="1"/>
  <c r="A50" i="22" l="1"/>
  <c r="A51" i="22" s="1"/>
  <c r="A52" i="22" s="1"/>
  <c r="A53" i="22" s="1"/>
  <c r="A54" i="22" s="1"/>
  <c r="O47" i="22"/>
  <c r="H5" i="22"/>
  <c r="I5" i="22" s="1"/>
  <c r="J5" i="22" s="1"/>
  <c r="M5" i="22" s="1"/>
  <c r="P5" i="22" s="1"/>
  <c r="Q5" i="22" s="1"/>
  <c r="R5" i="22" s="1"/>
  <c r="S5" i="22" s="1"/>
  <c r="T5" i="22" s="1"/>
  <c r="W5" i="22" s="1"/>
  <c r="X5" i="22" s="1"/>
  <c r="A42" i="22"/>
  <c r="A43" i="22" s="1"/>
  <c r="A44" i="22" s="1"/>
  <c r="A45" i="22" s="1"/>
  <c r="A46" i="22" s="1"/>
  <c r="F14" i="22"/>
  <c r="X14" i="22" s="1"/>
  <c r="G47" i="22"/>
  <c r="F47" i="22" s="1"/>
  <c r="D117" i="22"/>
  <c r="S80" i="22"/>
  <c r="O103" i="22"/>
  <c r="O105" i="22" s="1"/>
  <c r="R117" i="22"/>
  <c r="S7" i="22"/>
  <c r="N7" i="22"/>
  <c r="P7" i="22"/>
  <c r="T95" i="22"/>
  <c r="P9" i="22"/>
  <c r="T85" i="22"/>
  <c r="D47" i="22"/>
  <c r="D107" i="22" s="1"/>
  <c r="S38" i="22"/>
  <c r="P79" i="22"/>
  <c r="S79" i="22"/>
  <c r="W79" i="22"/>
  <c r="N81" i="22"/>
  <c r="S87" i="22"/>
  <c r="S90" i="22"/>
  <c r="Q21" i="22"/>
  <c r="X80" i="22"/>
  <c r="N20" i="22"/>
  <c r="T22" i="22"/>
  <c r="T45" i="22"/>
  <c r="X48" i="22"/>
  <c r="T7" i="22"/>
  <c r="W21" i="22"/>
  <c r="AA23" i="22"/>
  <c r="T31" i="22"/>
  <c r="N85" i="22"/>
  <c r="S13" i="22"/>
  <c r="S21" i="22"/>
  <c r="Q22" i="22"/>
  <c r="X78" i="22"/>
  <c r="Q80" i="22"/>
  <c r="P21" i="22"/>
  <c r="S25" i="22"/>
  <c r="S28" i="22"/>
  <c r="N34" i="22"/>
  <c r="N48" i="22"/>
  <c r="W80" i="22"/>
  <c r="N38" i="22"/>
  <c r="S51" i="22"/>
  <c r="P61" i="22"/>
  <c r="W113" i="22"/>
  <c r="N13" i="22"/>
  <c r="X38" i="22"/>
  <c r="T41" i="22"/>
  <c r="W52" i="22"/>
  <c r="Q61" i="22"/>
  <c r="P13" i="22"/>
  <c r="S29" i="22"/>
  <c r="S61" i="22"/>
  <c r="S49" i="22"/>
  <c r="W13" i="22"/>
  <c r="X23" i="22"/>
  <c r="T27" i="22"/>
  <c r="T36" i="22"/>
  <c r="Q38" i="22"/>
  <c r="N62" i="22"/>
  <c r="P26" i="22"/>
  <c r="X26" i="22"/>
  <c r="P35" i="22"/>
  <c r="S37" i="22"/>
  <c r="P40" i="22"/>
  <c r="X52" i="22"/>
  <c r="S12" i="22"/>
  <c r="S33" i="22"/>
  <c r="P34" i="22"/>
  <c r="P23" i="22"/>
  <c r="Q34" i="22"/>
  <c r="P42" i="22"/>
  <c r="P49" i="22"/>
  <c r="T61" i="22"/>
  <c r="S62" i="22"/>
  <c r="X70" i="22"/>
  <c r="Z15" i="22"/>
  <c r="N21" i="22"/>
  <c r="N25" i="22"/>
  <c r="S26" i="22"/>
  <c r="T29" i="22"/>
  <c r="T34" i="22"/>
  <c r="S35" i="22"/>
  <c r="X39" i="22"/>
  <c r="Y39" i="22" s="1"/>
  <c r="N41" i="22"/>
  <c r="T42" i="22"/>
  <c r="S52" i="22"/>
  <c r="T62" i="22"/>
  <c r="E77" i="22"/>
  <c r="P85" i="22"/>
  <c r="T87" i="22"/>
  <c r="S88" i="22"/>
  <c r="P52" i="22"/>
  <c r="W39" i="22"/>
  <c r="T46" i="22"/>
  <c r="X49" i="22"/>
  <c r="N95" i="22"/>
  <c r="T19" i="22"/>
  <c r="Z18" i="22"/>
  <c r="T23" i="22"/>
  <c r="T26" i="22"/>
  <c r="N29" i="22"/>
  <c r="S31" i="22"/>
  <c r="T35" i="22"/>
  <c r="S40" i="22"/>
  <c r="T52" i="22"/>
  <c r="W87" i="22"/>
  <c r="W35" i="22"/>
  <c r="N30" i="22"/>
  <c r="W26" i="22"/>
  <c r="X35" i="22"/>
  <c r="Y35" i="22" s="1"/>
  <c r="P39" i="22"/>
  <c r="R60" i="22"/>
  <c r="R73" i="22" s="1"/>
  <c r="S17" i="22"/>
  <c r="T20" i="22"/>
  <c r="Q26" i="22"/>
  <c r="Q35" i="22"/>
  <c r="N37" i="22"/>
  <c r="W49" i="22"/>
  <c r="N53" i="22"/>
  <c r="N82" i="22"/>
  <c r="W85" i="22"/>
  <c r="P90" i="22"/>
  <c r="S11" i="22"/>
  <c r="AC47" i="22"/>
  <c r="S39" i="22"/>
  <c r="T39" i="22"/>
  <c r="T16" i="22"/>
  <c r="S16" i="22"/>
  <c r="X33" i="22"/>
  <c r="Q33" i="22"/>
  <c r="P33" i="22"/>
  <c r="W33" i="22"/>
  <c r="X84" i="22"/>
  <c r="Q84" i="22"/>
  <c r="P84" i="22"/>
  <c r="W84" i="22"/>
  <c r="T44" i="22"/>
  <c r="P18" i="22"/>
  <c r="W18" i="22"/>
  <c r="Q18" i="22"/>
  <c r="X18" i="22"/>
  <c r="S15" i="22"/>
  <c r="T15" i="22"/>
  <c r="Z47" i="22"/>
  <c r="AA45" i="22"/>
  <c r="X30" i="22"/>
  <c r="N44" i="22"/>
  <c r="W12" i="22"/>
  <c r="W17" i="22"/>
  <c r="W7" i="22"/>
  <c r="N8" i="22"/>
  <c r="Q12" i="22"/>
  <c r="X12" i="22"/>
  <c r="X29" i="22"/>
  <c r="Y29" i="22" s="1"/>
  <c r="N31" i="22"/>
  <c r="S36" i="22"/>
  <c r="X7" i="22"/>
  <c r="P8" i="22"/>
  <c r="W8" i="22"/>
  <c r="P11" i="22"/>
  <c r="W11" i="22"/>
  <c r="T13" i="22"/>
  <c r="W15" i="22"/>
  <c r="P16" i="22"/>
  <c r="W20" i="22"/>
  <c r="AA21" i="22"/>
  <c r="Q29" i="22"/>
  <c r="S30" i="22"/>
  <c r="P31" i="22"/>
  <c r="Q37" i="22"/>
  <c r="P41" i="22"/>
  <c r="S45" i="22"/>
  <c r="W45" i="22"/>
  <c r="P46" i="22"/>
  <c r="S63" i="22"/>
  <c r="T63" i="22"/>
  <c r="P63" i="22"/>
  <c r="N63" i="22"/>
  <c r="S83" i="22"/>
  <c r="N83" i="22"/>
  <c r="P83" i="22"/>
  <c r="W83" i="22"/>
  <c r="T12" i="22"/>
  <c r="T17" i="22"/>
  <c r="Q20" i="22"/>
  <c r="T21" i="22"/>
  <c r="S23" i="22"/>
  <c r="W23" i="22"/>
  <c r="W27" i="22"/>
  <c r="P27" i="22"/>
  <c r="N28" i="22"/>
  <c r="W36" i="22"/>
  <c r="P36" i="22"/>
  <c r="X36" i="22"/>
  <c r="T37" i="22"/>
  <c r="S41" i="22"/>
  <c r="S46" i="22"/>
  <c r="X51" i="22"/>
  <c r="S53" i="22"/>
  <c r="T80" i="22"/>
  <c r="R91" i="22"/>
  <c r="T83" i="22"/>
  <c r="N12" i="22"/>
  <c r="W30" i="22"/>
  <c r="P30" i="22"/>
  <c r="P12" i="22"/>
  <c r="X19" i="22"/>
  <c r="Q19" i="22"/>
  <c r="P28" i="22"/>
  <c r="Q30" i="22"/>
  <c r="W37" i="22"/>
  <c r="S42" i="22"/>
  <c r="X44" i="22"/>
  <c r="Q44" i="22"/>
  <c r="W44" i="22"/>
  <c r="N46" i="22"/>
  <c r="T48" i="22"/>
  <c r="N52" i="22"/>
  <c r="W53" i="22"/>
  <c r="W86" i="22"/>
  <c r="S86" i="22"/>
  <c r="P86" i="22"/>
  <c r="S22" i="22"/>
  <c r="X17" i="22"/>
  <c r="P19" i="22"/>
  <c r="N39" i="22"/>
  <c r="S70" i="22"/>
  <c r="W70" i="22"/>
  <c r="P70" i="22"/>
  <c r="N17" i="22"/>
  <c r="W28" i="22"/>
  <c r="P17" i="22"/>
  <c r="N11" i="22"/>
  <c r="N15" i="22"/>
  <c r="Q17" i="22"/>
  <c r="S18" i="22"/>
  <c r="S27" i="22"/>
  <c r="X37" i="22"/>
  <c r="P44" i="22"/>
  <c r="Q7" i="22"/>
  <c r="W16" i="22"/>
  <c r="N19" i="22"/>
  <c r="W19" i="22"/>
  <c r="N16" i="22"/>
  <c r="W29" i="22"/>
  <c r="P29" i="22"/>
  <c r="P37" i="22"/>
  <c r="W46" i="22"/>
  <c r="T53" i="22"/>
  <c r="Q53" i="22"/>
  <c r="P15" i="22"/>
  <c r="T25" i="22"/>
  <c r="W25" i="22"/>
  <c r="W31" i="22"/>
  <c r="S78" i="22"/>
  <c r="P78" i="22"/>
  <c r="N78" i="22"/>
  <c r="Q78" i="22"/>
  <c r="D93" i="22"/>
  <c r="D103" i="22"/>
  <c r="D105" i="22" s="1"/>
  <c r="Q8" i="22"/>
  <c r="S19" i="22"/>
  <c r="P20" i="22"/>
  <c r="X20" i="22"/>
  <c r="W22" i="22"/>
  <c r="P22" i="22"/>
  <c r="X22" i="22"/>
  <c r="N23" i="22"/>
  <c r="P25" i="22"/>
  <c r="Y25" i="22"/>
  <c r="N27" i="22"/>
  <c r="T28" i="22"/>
  <c r="T30" i="22"/>
  <c r="Q31" i="22"/>
  <c r="W34" i="22"/>
  <c r="N36" i="22"/>
  <c r="T38" i="22"/>
  <c r="W38" i="22"/>
  <c r="X42" i="22"/>
  <c r="Q42" i="22"/>
  <c r="W42" i="22"/>
  <c r="S44" i="22"/>
  <c r="P45" i="22"/>
  <c r="S48" i="22"/>
  <c r="W48" i="22"/>
  <c r="P48" i="22"/>
  <c r="W51" i="22"/>
  <c r="Q63" i="22"/>
  <c r="T78" i="22"/>
  <c r="W81" i="22"/>
  <c r="P81" i="22"/>
  <c r="S81" i="22"/>
  <c r="T81" i="22"/>
  <c r="Q83" i="22"/>
  <c r="X86" i="22"/>
  <c r="R84" i="22"/>
  <c r="T84" i="22" s="1"/>
  <c r="S85" i="22"/>
  <c r="X88" i="22"/>
  <c r="Q88" i="22"/>
  <c r="T88" i="22"/>
  <c r="N88" i="22"/>
  <c r="W88" i="22"/>
  <c r="N61" i="22"/>
  <c r="G91" i="22"/>
  <c r="G93" i="22" s="1"/>
  <c r="F93" i="22" s="1"/>
  <c r="E84" i="22"/>
  <c r="N84" i="22" s="1"/>
  <c r="Q62" i="22"/>
  <c r="W62" i="22"/>
  <c r="N80" i="22"/>
  <c r="E117" i="22"/>
  <c r="O93" i="22"/>
  <c r="Q82" i="22"/>
  <c r="W82" i="22"/>
  <c r="S95" i="22"/>
  <c r="W95" i="22"/>
  <c r="P95" i="22"/>
  <c r="X90" i="22"/>
  <c r="Q90" i="22"/>
  <c r="T90" i="22"/>
  <c r="N90" i="22"/>
  <c r="W90" i="22"/>
  <c r="N113" i="22"/>
  <c r="T113" i="22"/>
  <c r="N87" i="22"/>
  <c r="X87" i="22"/>
  <c r="Q14" i="22" l="1"/>
  <c r="W14" i="22"/>
  <c r="S14" i="22"/>
  <c r="T14" i="22"/>
  <c r="N14" i="22"/>
  <c r="P14" i="22"/>
  <c r="E91" i="22"/>
  <c r="R134" i="22" s="1"/>
  <c r="G103" i="22"/>
  <c r="F91" i="22"/>
  <c r="Q91" i="22" s="1"/>
  <c r="R71" i="22"/>
  <c r="R68" i="22" s="1"/>
  <c r="R75" i="22" s="1"/>
  <c r="G75" i="22"/>
  <c r="F75" i="22" s="1"/>
  <c r="X9" i="22"/>
  <c r="S9" i="22"/>
  <c r="W9" i="22"/>
  <c r="G107" i="22"/>
  <c r="Q9" i="22"/>
  <c r="O75" i="22"/>
  <c r="O107" i="22"/>
  <c r="O120" i="22" s="1"/>
  <c r="O132" i="22" s="1"/>
  <c r="O109" i="22"/>
  <c r="O111" i="22" s="1"/>
  <c r="S20" i="22"/>
  <c r="T33" i="22"/>
  <c r="N33" i="22"/>
  <c r="S34" i="22"/>
  <c r="N18" i="22"/>
  <c r="S113" i="22"/>
  <c r="D109" i="22"/>
  <c r="D111" i="22" s="1"/>
  <c r="N9" i="22"/>
  <c r="Q113" i="22"/>
  <c r="R93" i="22"/>
  <c r="R109" i="22" s="1"/>
  <c r="R111" i="22" s="1"/>
  <c r="P100" i="22"/>
  <c r="S100" i="22"/>
  <c r="N100" i="22"/>
  <c r="W100" i="22"/>
  <c r="T100" i="22"/>
  <c r="D118" i="22"/>
  <c r="D116" i="22" s="1"/>
  <c r="D71" i="22"/>
  <c r="D68" i="22" s="1"/>
  <c r="T65" i="22"/>
  <c r="P65" i="22"/>
  <c r="S65" i="22"/>
  <c r="Q65" i="22"/>
  <c r="N65" i="22"/>
  <c r="W65" i="22"/>
  <c r="T18" i="22"/>
  <c r="T9" i="22"/>
  <c r="S84" i="22"/>
  <c r="Z75" i="22"/>
  <c r="N60" i="22"/>
  <c r="X60" i="22"/>
  <c r="Q60" i="22"/>
  <c r="T60" i="22"/>
  <c r="W60" i="22"/>
  <c r="P60" i="22"/>
  <c r="S60" i="22"/>
  <c r="N47" i="22"/>
  <c r="T72" i="22"/>
  <c r="S72" i="22"/>
  <c r="N72" i="22"/>
  <c r="Q72" i="22"/>
  <c r="P72" i="22"/>
  <c r="W72" i="22"/>
  <c r="X72" i="22"/>
  <c r="W47" i="22"/>
  <c r="P47" i="22"/>
  <c r="Z45" i="22"/>
  <c r="AB45" i="22" s="1"/>
  <c r="X47" i="22"/>
  <c r="Q47" i="22"/>
  <c r="P113" i="22"/>
  <c r="S8" i="22"/>
  <c r="T8" i="22"/>
  <c r="S47" i="22"/>
  <c r="R99" i="22"/>
  <c r="R103" i="22" s="1"/>
  <c r="W77" i="22"/>
  <c r="Q77" i="22"/>
  <c r="T77" i="22"/>
  <c r="X77" i="22"/>
  <c r="P77" i="22"/>
  <c r="N77" i="22"/>
  <c r="S77" i="22"/>
  <c r="Q99" i="22"/>
  <c r="S101" i="22"/>
  <c r="S82" i="22"/>
  <c r="T82" i="22"/>
  <c r="E93" i="22" l="1"/>
  <c r="E109" i="22" s="1"/>
  <c r="E111" i="22" s="1"/>
  <c r="G105" i="22"/>
  <c r="F105" i="22" s="1"/>
  <c r="F103" i="22"/>
  <c r="G109" i="22"/>
  <c r="G111" i="22" s="1"/>
  <c r="F111" i="22" s="1"/>
  <c r="Q93" i="22"/>
  <c r="G120" i="22"/>
  <c r="F107" i="22"/>
  <c r="P107" i="22" s="1"/>
  <c r="R118" i="22"/>
  <c r="R116" i="22" s="1"/>
  <c r="R120" i="22"/>
  <c r="R105" i="22"/>
  <c r="R136" i="22"/>
  <c r="R137" i="22" s="1"/>
  <c r="R135" i="22"/>
  <c r="W101" i="22"/>
  <c r="P101" i="22"/>
  <c r="R115" i="22"/>
  <c r="S117" i="22"/>
  <c r="P117" i="22"/>
  <c r="T117" i="22"/>
  <c r="X117" i="22"/>
  <c r="W117" i="22"/>
  <c r="N117" i="22"/>
  <c r="Q117" i="22"/>
  <c r="D115" i="22"/>
  <c r="D120" i="22" s="1"/>
  <c r="D132" i="22" s="1"/>
  <c r="D75" i="22"/>
  <c r="D122" i="22" s="1"/>
  <c r="E122" i="22" s="1"/>
  <c r="R133" i="22"/>
  <c r="E107" i="22"/>
  <c r="P99" i="22"/>
  <c r="S99" i="22"/>
  <c r="T99" i="22"/>
  <c r="W99" i="22"/>
  <c r="X91" i="22"/>
  <c r="N91" i="22"/>
  <c r="P91" i="22"/>
  <c r="S91" i="22"/>
  <c r="W91" i="22"/>
  <c r="T91" i="22"/>
  <c r="R107" i="22"/>
  <c r="T47" i="22"/>
  <c r="O122" i="22"/>
  <c r="AC75" i="22"/>
  <c r="F109" i="22" l="1"/>
  <c r="F120" i="22"/>
  <c r="F135" i="22" s="1"/>
  <c r="G132" i="22"/>
  <c r="N107" i="22"/>
  <c r="W107" i="22"/>
  <c r="X107" i="22"/>
  <c r="Q107" i="22"/>
  <c r="T107" i="22"/>
  <c r="R122" i="22"/>
  <c r="S107" i="22"/>
  <c r="X93" i="22"/>
  <c r="N93" i="22"/>
  <c r="S93" i="22"/>
  <c r="T93" i="22"/>
  <c r="W93" i="22"/>
  <c r="P93" i="22"/>
  <c r="E118" i="22"/>
  <c r="E116" i="22" s="1"/>
  <c r="S118" i="22"/>
  <c r="P118" i="22"/>
  <c r="W118" i="22"/>
  <c r="X118" i="22"/>
  <c r="Q118" i="22"/>
  <c r="T118" i="22"/>
  <c r="T73" i="22"/>
  <c r="W73" i="22"/>
  <c r="P73" i="22"/>
  <c r="S73" i="22"/>
  <c r="X73" i="22"/>
  <c r="Q73" i="22"/>
  <c r="N73" i="22"/>
  <c r="X105" i="22" l="1"/>
  <c r="T105" i="22"/>
  <c r="Q105" i="22"/>
  <c r="P105" i="22"/>
  <c r="S105" i="22"/>
  <c r="W105" i="22"/>
  <c r="N118" i="22"/>
  <c r="G122" i="22"/>
  <c r="F122" i="22" s="1"/>
  <c r="T71" i="22"/>
  <c r="X71" i="22"/>
  <c r="Q71" i="22"/>
  <c r="N71" i="22"/>
  <c r="W71" i="22"/>
  <c r="S71" i="22"/>
  <c r="P71" i="22"/>
  <c r="E115" i="22"/>
  <c r="E120" i="22" s="1"/>
  <c r="E103" i="22"/>
  <c r="E105" i="22" s="1"/>
  <c r="N105" i="22" s="1"/>
  <c r="N99" i="22"/>
  <c r="X111" i="22"/>
  <c r="N111" i="22"/>
  <c r="T111" i="22"/>
  <c r="W111" i="22"/>
  <c r="P111" i="22"/>
  <c r="S111" i="22"/>
  <c r="Q111" i="22"/>
  <c r="X103" i="22"/>
  <c r="Q103" i="22"/>
  <c r="S103" i="22"/>
  <c r="W103" i="22"/>
  <c r="P103" i="22"/>
  <c r="T103" i="22"/>
  <c r="S116" i="22"/>
  <c r="P116" i="22"/>
  <c r="X116" i="22"/>
  <c r="Q116" i="22"/>
  <c r="N116" i="22"/>
  <c r="T116" i="22"/>
  <c r="W116" i="22"/>
  <c r="X109" i="22"/>
  <c r="N109" i="22"/>
  <c r="Q109" i="22"/>
  <c r="S109" i="22"/>
  <c r="W109" i="22"/>
  <c r="T109" i="22"/>
  <c r="P109" i="22"/>
  <c r="E132" i="22" l="1"/>
  <c r="E135" i="22"/>
  <c r="Q68" i="22"/>
  <c r="W68" i="22"/>
  <c r="X68" i="22"/>
  <c r="S68" i="22"/>
  <c r="T68" i="22"/>
  <c r="N68" i="22"/>
  <c r="P68" i="22"/>
  <c r="P122" i="22"/>
  <c r="S122" i="22"/>
  <c r="Q122" i="22"/>
  <c r="N122" i="22"/>
  <c r="T122" i="22"/>
  <c r="W122" i="22"/>
  <c r="X122" i="22"/>
  <c r="S115" i="22"/>
  <c r="P115" i="22"/>
  <c r="N115" i="22"/>
  <c r="W115" i="22"/>
  <c r="Q115" i="22"/>
  <c r="T115" i="22"/>
  <c r="X115" i="22"/>
  <c r="N103" i="22"/>
  <c r="S120" i="22" l="1"/>
  <c r="P120" i="22"/>
  <c r="W120" i="22"/>
  <c r="F132" i="22"/>
  <c r="X120" i="22"/>
  <c r="N120" i="22"/>
  <c r="T120" i="22"/>
  <c r="Q120" i="22"/>
  <c r="S75" i="22"/>
  <c r="Q75" i="22"/>
  <c r="N75" i="22"/>
  <c r="T75" i="22"/>
  <c r="X75" i="22"/>
  <c r="W75" i="22"/>
  <c r="P75" i="22"/>
  <c r="Z120" i="22" l="1"/>
</calcChain>
</file>

<file path=xl/sharedStrings.xml><?xml version="1.0" encoding="utf-8"?>
<sst xmlns="http://schemas.openxmlformats.org/spreadsheetml/2006/main" count="232" uniqueCount="218">
  <si>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</si>
  <si>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</si>
  <si>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</si>
  <si>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</si>
  <si>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</si>
  <si>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</si>
  <si>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</si>
  <si>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</si>
  <si>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</si>
  <si>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</si>
  <si>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</si>
  <si>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</si>
  <si>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</si>
  <si>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</si>
  <si>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</si>
  <si>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</si>
  <si>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</si>
  <si>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</si>
  <si>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</si>
  <si>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</si>
  <si>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</si>
  <si>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</si>
  <si>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</si>
  <si>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</si>
  <si>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</si>
  <si>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</si>
  <si>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</si>
  <si>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</si>
  <si>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</si>
  <si>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</si>
  <si>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</si>
  <si>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</si>
  <si>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</si>
  <si>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</si>
  <si>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</si>
  <si>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</si>
  <si>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</si>
  <si>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</si>
  <si>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</si>
  <si>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</si>
  <si>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</si>
  <si>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</si>
  <si>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</si>
  <si>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</si>
  <si>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</si>
  <si>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</si>
  <si>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</si>
  <si>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</si>
  <si>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</si>
  <si>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</si>
  <si>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</si>
  <si>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</si>
  <si>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</si>
  <si>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</si>
  <si>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</si>
  <si>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</si>
  <si>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</si>
  <si>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</si>
  <si>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</si>
  <si>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</si>
  <si>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</si>
  <si>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</si>
  <si>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</si>
  <si>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</si>
  <si>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</si>
  <si>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</si>
  <si>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</si>
  <si>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</si>
  <si>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</si>
  <si>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</si>
  <si>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</si>
  <si>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</si>
  <si>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</si>
  <si>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</si>
  <si>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</si>
  <si>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</si>
  <si>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</si>
  <si>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</si>
  <si>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</si>
  <si>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</si>
  <si>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</si>
  <si>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</si>
  <si>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</si>
  <si>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</si>
  <si>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</si>
  <si>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</si>
  <si>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</si>
  <si>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</si>
  <si>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</si>
  <si>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</si>
  <si>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</si>
  <si>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</si>
  <si>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</si>
  <si>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</si>
  <si>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</si>
  <si>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</si>
  <si>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</si>
  <si>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</si>
  <si>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</si>
  <si>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</si>
  <si>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</si>
  <si>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</si>
  <si>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</si>
  <si>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</si>
  <si>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</si>
  <si>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</si>
  <si>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</si>
  <si>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</si>
  <si>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</si>
  <si>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</si>
  <si>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</si>
  <si>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</si>
  <si>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</si>
  <si>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</si>
  <si>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</si>
  <si>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</si>
  <si>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</si>
  <si>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</si>
  <si>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</si>
  <si>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</si>
  <si>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</si>
  <si>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</si>
  <si>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</si>
  <si>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</si>
  <si>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</si>
  <si>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</si>
  <si>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</si>
  <si>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</si>
  <si>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</si>
  <si>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</si>
  <si>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</si>
  <si>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</si>
  <si>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</si>
  <si>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</si>
  <si>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</si>
  <si>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</si>
  <si>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u/>
        <sz val="15"/>
        <rFont val="Times New Roman"/>
        <family val="1"/>
        <charset val="204"/>
      </rPr>
      <t>Медична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</si>
  <si>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</si>
  <si>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>Субвенція з місцевого бюджету на здійснення переданих видатків у</t>
    </r>
    <r>
      <rPr>
        <b/>
        <u/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</si>
  <si>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</si>
  <si>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</si>
  <si>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</si>
  <si>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</si>
  <si>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</si>
  <si>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</si>
  <si>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</si>
  <si>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</si>
  <si>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</si>
  <si>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</si>
  <si>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</si>
  <si>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</si>
  <si>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</si>
  <si>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</si>
  <si>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</si>
  <si>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</si>
  <si>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</si>
  <si>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</si>
  <si>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</si>
  <si>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</si>
  <si>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</si>
  <si>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</si>
  <si>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</si>
  <si>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</si>
  <si>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</si>
  <si>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</si>
  <si>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</si>
  <si>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</si>
  <si>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</si>
  <si>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</si>
  <si>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</si>
  <si>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</si>
  <si>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</si>
  <si>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</si>
  <si>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</si>
  <si>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</si>
  <si>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</si>
  <si>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</si>
  <si>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</si>
  <si>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</si>
  <si>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</si>
  <si>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</si>
  <si>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  </r>
  </si>
  <si>
    <t>квітень</t>
  </si>
  <si>
    <r>
      <t xml:space="preserve">* субвенція з обласного бюджету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</si>
  <si>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субвенція з обласного бюджету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</si>
  <si>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субвенція з обласного бюджету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</si>
  <si>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субвенція з обласного бюджету </t>
    </r>
    <r>
      <rPr>
        <b/>
        <i/>
        <u/>
        <sz val="15"/>
        <rFont val="Times New Roman Cyr"/>
        <charset val="204"/>
      </rPr>
      <t>на компенсаційні виплати за пільговий проїзд окремих категорій громадян</t>
    </r>
    <r>
      <rPr>
        <i/>
        <sz val="15"/>
        <rFont val="Times New Roman Cyr"/>
        <charset val="204"/>
      </rPr>
      <t xml:space="preserve"> на міжміських внутрішньообласних маршрутах загального користування</t>
    </r>
  </si>
  <si>
    <r>
      <t xml:space="preserve">* субвенція з обласного бюджету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</si>
  <si>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r>
      <t xml:space="preserve">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</si>
  <si>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  </r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</si>
  <si>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5"/>
        <rFont val="Times New Roman"/>
        <family val="1"/>
        <charset val="204"/>
      </rPr>
      <t>"Нова українська школа"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</si>
  <si>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t>41051400</t>
  </si>
  <si>
    <t>41034500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</si>
  <si>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</si>
  <si>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11.1.</t>
  </si>
  <si>
    <t>11.2.</t>
  </si>
  <si>
    <t>11.3.</t>
  </si>
  <si>
    <t>11.4.</t>
  </si>
  <si>
    <t>11.5.</t>
  </si>
  <si>
    <t>11.6.</t>
  </si>
  <si>
    <t>травень</t>
  </si>
  <si>
    <t>червень</t>
  </si>
  <si>
    <r>
      <t xml:space="preserve">Субвенція з сільського бюджету села Вінницькі Хутори Вінницького району </t>
    </r>
    <r>
      <rPr>
        <b/>
        <i/>
        <u/>
        <sz val="15"/>
        <rFont val="Times New Roman"/>
        <family val="1"/>
        <charset val="204"/>
      </rPr>
      <t>на капітальний ремонт дороги по вул. Войцехівського м.Вінниці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</si>
  <si>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</si>
  <si>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</si>
  <si>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6.5.</t>
  </si>
  <si>
    <t>липень</t>
  </si>
  <si>
    <t>Надійшло за січень - липень 2021р.</t>
  </si>
  <si>
    <t>План на січень - липня 2021 року</t>
  </si>
  <si>
    <t>Відхилення надходжень до бюджету на січень - липень 2021 року</t>
  </si>
  <si>
    <t>План на січень - липень 2021р. (розрахунковий)</t>
  </si>
  <si>
    <t xml:space="preserve">Відхилення надходжень до бюджету на січень - липень 2021 року (розрахунковий) </t>
  </si>
  <si>
    <t>Надійшло за січень - липень 2020р.</t>
  </si>
  <si>
    <t>Відхилення факту січня - липня 2021р. від факту січня - липня 2020р.</t>
  </si>
  <si>
    <t>Директор департаменту</t>
  </si>
  <si>
    <t>Наталія Луценко</t>
  </si>
  <si>
    <t>% виконання до уточненого плану на 2021р.</t>
  </si>
  <si>
    <t>Аналіз виконання бюджету Вінницької міської територіальної громади по доходах за січень - липень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</si>
</sst>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5"/>
      <name val="Times New Roman Cyr"/>
      <charset val="204"/>
    </font>
    <font>
      <b/>
      <i/>
      <u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51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6" fillId="0" borderId="0"/>
    <xf numFmtId="0" fontId="53" fillId="0" borderId="0"/>
    <xf numFmtId="0" fontId="1" fillId="0" borderId="0"/>
    <xf numFmtId="0" fontId="36" fillId="0" borderId="0"/>
    <xf numFmtId="0" fontId="36" fillId="0" borderId="0"/>
    <xf numFmtId="0" fontId="52" fillId="0" borderId="0"/>
  </cellStyleXfs>
  <cellXfs count="229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49" fontId="12" fillId="0" borderId="1" xfId="3" applyNumberFormat="1" applyFont="1" applyFill="1" applyBorder="1" applyAlignment="1">
      <alignment vertical="top" wrapText="1"/>
    </xf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0" fontId="39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49" fontId="42" fillId="0" borderId="1" xfId="2" applyNumberFormat="1" applyFont="1" applyFill="1" applyBorder="1" applyAlignment="1">
      <alignment horizontal="left" vertical="center" wrapText="1"/>
    </xf>
    <xf numFmtId="0" fontId="42" fillId="0" borderId="1" xfId="2" applyNumberFormat="1" applyFont="1" applyFill="1" applyBorder="1" applyAlignment="1">
      <alignment horizontal="left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45" fillId="0" borderId="1" xfId="3" applyNumberFormat="1" applyFont="1" applyFill="1" applyBorder="1" applyAlignment="1">
      <alignment horizontal="left" vertical="center" wrapText="1" shrinkToFit="1"/>
    </xf>
    <xf numFmtId="0" fontId="40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7" fillId="2" borderId="1" xfId="1" applyFont="1" applyFill="1" applyBorder="1" applyAlignment="1">
      <alignment horizontal="center" vertical="center"/>
    </xf>
    <xf numFmtId="0" fontId="48" fillId="2" borderId="1" xfId="1" applyFont="1" applyFill="1" applyBorder="1" applyAlignment="1">
      <alignment horizontal="center" vertical="center" wrapText="1"/>
    </xf>
    <xf numFmtId="165" fontId="48" fillId="2" borderId="1" xfId="1" applyNumberFormat="1" applyFont="1" applyFill="1" applyBorder="1" applyAlignment="1">
      <alignment horizontal="center" vertical="center" wrapText="1"/>
    </xf>
    <xf numFmtId="166" fontId="48" fillId="2" borderId="1" xfId="1" applyNumberFormat="1" applyFont="1" applyFill="1" applyBorder="1" applyAlignment="1">
      <alignment horizontal="center" vertical="center" wrapText="1"/>
    </xf>
    <xf numFmtId="166" fontId="48" fillId="2" borderId="1" xfId="3" applyNumberFormat="1" applyFont="1" applyFill="1" applyBorder="1" applyAlignment="1">
      <alignment horizontal="center" vertical="center"/>
    </xf>
    <xf numFmtId="164" fontId="48" fillId="2" borderId="1" xfId="3" applyNumberFormat="1" applyFont="1" applyFill="1" applyBorder="1" applyAlignment="1">
      <alignment horizontal="center" vertical="center"/>
    </xf>
    <xf numFmtId="166" fontId="47" fillId="2" borderId="0" xfId="1" applyNumberFormat="1" applyFont="1" applyFill="1" applyBorder="1"/>
    <xf numFmtId="0" fontId="47" fillId="2" borderId="0" xfId="1" applyFont="1" applyFill="1" applyBorder="1"/>
    <xf numFmtId="49" fontId="48" fillId="2" borderId="1" xfId="1" applyNumberFormat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horizontal="center" vertical="center" wrapText="1"/>
    </xf>
    <xf numFmtId="49" fontId="48" fillId="0" borderId="1" xfId="1" applyNumberFormat="1" applyFont="1" applyFill="1" applyBorder="1" applyAlignment="1">
      <alignment horizontal="center" vertical="center" wrapText="1"/>
    </xf>
    <xf numFmtId="166" fontId="48" fillId="0" borderId="1" xfId="1" applyNumberFormat="1" applyFont="1" applyFill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center" vertical="center"/>
    </xf>
    <xf numFmtId="164" fontId="48" fillId="0" borderId="1" xfId="3" applyNumberFormat="1" applyFont="1" applyFill="1" applyBorder="1" applyAlignment="1">
      <alignment horizontal="center" vertical="center"/>
    </xf>
    <xf numFmtId="0" fontId="47" fillId="0" borderId="0" xfId="1" applyFont="1" applyFill="1" applyBorder="1"/>
    <xf numFmtId="0" fontId="47" fillId="2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horizontal="left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9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9" fillId="0" borderId="0" xfId="1" applyFont="1" applyFill="1" applyBorder="1"/>
    <xf numFmtId="49" fontId="42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left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7" fontId="32" fillId="0" borderId="0" xfId="3" applyNumberFormat="1" applyFont="1" applyFill="1"/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25" fillId="0" borderId="1" xfId="3" applyNumberFormat="1" applyFont="1" applyFill="1" applyBorder="1" applyAlignment="1">
      <alignment horizontal="justify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37" fillId="0" borderId="1" xfId="3" applyNumberFormat="1" applyFont="1" applyFill="1" applyBorder="1" applyAlignment="1">
      <alignment horizontal="justify" vertical="center" wrapText="1" shrinkToFit="1"/>
    </xf>
    <xf numFmtId="0" fontId="54" fillId="0" borderId="1" xfId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25" fillId="0" borderId="1" xfId="2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33" fillId="0" borderId="2" xfId="1" applyFont="1" applyFill="1" applyBorder="1" applyAlignment="1">
      <alignment vertical="center"/>
    </xf>
    <xf numFmtId="0" fontId="34" fillId="0" borderId="2" xfId="1" applyFont="1" applyFill="1" applyBorder="1" applyAlignment="1">
      <alignment horizontal="left" vertical="center" wrapText="1"/>
    </xf>
    <xf numFmtId="49" fontId="34" fillId="0" borderId="2" xfId="1" applyNumberFormat="1" applyFont="1" applyFill="1" applyBorder="1" applyAlignment="1">
      <alignment horizontal="center" vertical="center" wrapText="1"/>
    </xf>
    <xf numFmtId="164" fontId="34" fillId="0" borderId="2" xfId="3" applyNumberFormat="1" applyFont="1" applyFill="1" applyBorder="1" applyAlignment="1">
      <alignment horizontal="center" vertical="center"/>
    </xf>
    <xf numFmtId="166" fontId="34" fillId="0" borderId="2" xfId="3" applyNumberFormat="1" applyFont="1" applyFill="1" applyBorder="1" applyAlignment="1">
      <alignment horizontal="center" vertical="center"/>
    </xf>
    <xf numFmtId="166" fontId="34" fillId="0" borderId="2" xfId="1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wrapText="1"/>
    </xf>
    <xf numFmtId="1" fontId="3" fillId="0" borderId="1" xfId="3" applyNumberFormat="1" applyFont="1" applyFill="1" applyBorder="1"/>
    <xf numFmtId="0" fontId="5" fillId="0" borderId="1" xfId="3" applyFont="1" applyFill="1" applyBorder="1"/>
    <xf numFmtId="0" fontId="30" fillId="0" borderId="1" xfId="3" applyFont="1" applyFill="1" applyBorder="1"/>
    <xf numFmtId="0" fontId="27" fillId="0" borderId="1" xfId="3" applyFont="1" applyFill="1" applyBorder="1"/>
    <xf numFmtId="49" fontId="23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/>
    <xf numFmtId="0" fontId="7" fillId="0" borderId="1" xfId="3" applyFont="1" applyFill="1" applyBorder="1" applyAlignment="1">
      <alignment horizontal="center"/>
    </xf>
    <xf numFmtId="0" fontId="33" fillId="2" borderId="1" xfId="3" applyFont="1" applyFill="1" applyBorder="1"/>
    <xf numFmtId="0" fontId="5" fillId="0" borderId="1" xfId="1" applyFont="1" applyFill="1" applyBorder="1"/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30" fillId="0" borderId="1" xfId="1" applyFont="1" applyFill="1" applyBorder="1"/>
    <xf numFmtId="0" fontId="6" fillId="0" borderId="1" xfId="1" applyFont="1" applyFill="1" applyBorder="1"/>
    <xf numFmtId="0" fontId="7" fillId="0" borderId="1" xfId="1" applyFont="1" applyFill="1" applyBorder="1"/>
    <xf numFmtId="0" fontId="47" fillId="2" borderId="1" xfId="1" applyFont="1" applyFill="1" applyBorder="1"/>
    <xf numFmtId="0" fontId="12" fillId="0" borderId="1" xfId="1" applyFont="1" applyFill="1" applyBorder="1"/>
    <xf numFmtId="0" fontId="29" fillId="0" borderId="1" xfId="1" applyFont="1" applyFill="1" applyBorder="1"/>
    <xf numFmtId="0" fontId="13" fillId="0" borderId="1" xfId="1" applyFont="1" applyFill="1" applyBorder="1"/>
    <xf numFmtId="0" fontId="15" fillId="0" borderId="1" xfId="1" applyFont="1" applyFill="1" applyBorder="1"/>
    <xf numFmtId="0" fontId="35" fillId="2" borderId="1" xfId="1" applyFont="1" applyFill="1" applyBorder="1"/>
    <xf numFmtId="0" fontId="35" fillId="0" borderId="1" xfId="1" applyFont="1" applyFill="1" applyBorder="1"/>
    <xf numFmtId="0" fontId="27" fillId="0" borderId="1" xfId="1" applyFont="1" applyFill="1" applyBorder="1"/>
    <xf numFmtId="0" fontId="28" fillId="0" borderId="1" xfId="1" applyFont="1" applyFill="1" applyBorder="1"/>
    <xf numFmtId="0" fontId="33" fillId="0" borderId="1" xfId="1" applyFont="1" applyFill="1" applyBorder="1"/>
    <xf numFmtId="0" fontId="47" fillId="0" borderId="1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49" fillId="0" borderId="1" xfId="1" applyFont="1" applyFill="1" applyBorder="1"/>
    <xf numFmtId="0" fontId="0" fillId="0" borderId="0" xfId="0" applyFill="1"/>
    <xf numFmtId="2" fontId="34" fillId="0" borderId="1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9" fontId="17" fillId="0" borderId="0" xfId="2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0"/>
  <sheetViews>
    <sheetView showGridLines="0" tabSelected="1" view="pageBreakPreview" zoomScale="60" zoomScaleNormal="75" workbookViewId="0">
      <pane xSplit="3" ySplit="6" topLeftCell="D95" activePane="bottomRight" state="frozen"/>
      <selection pane="topRight" activeCell="D1" sqref="D1"/>
      <selection pane="bottomLeft" activeCell="A7" sqref="A7"/>
      <selection pane="bottomRight" sqref="A1:X1"/>
    </sheetView>
  </sheetViews>
  <sheetFormatPr defaultColWidth="9.140625" defaultRowHeight="12.75" x14ac:dyDescent="0.2"/>
  <cols>
    <col min="1" max="1" width="12.28515625" style="17" customWidth="1"/>
    <col min="2" max="2" width="84.7109375" style="17" customWidth="1"/>
    <col min="3" max="3" width="16.140625" style="17" customWidth="1"/>
    <col min="4" max="4" width="23.5703125" style="17" hidden="1" customWidth="1"/>
    <col min="5" max="5" width="25.28515625" style="17" customWidth="1"/>
    <col min="6" max="6" width="23.140625" style="171" customWidth="1"/>
    <col min="7" max="13" width="21.28515625" style="171" hidden="1" customWidth="1"/>
    <col min="14" max="14" width="20" style="1" customWidth="1"/>
    <col min="15" max="15" width="24.7109375" style="171" hidden="1" customWidth="1"/>
    <col min="16" max="16" width="22.5703125" style="1" hidden="1" customWidth="1"/>
    <col min="17" max="17" width="14.140625" style="1" hidden="1" customWidth="1"/>
    <col min="18" max="18" width="23.7109375" style="1" hidden="1" customWidth="1"/>
    <col min="19" max="19" width="22.42578125" style="1" hidden="1" customWidth="1"/>
    <col min="20" max="20" width="14.7109375" style="1" hidden="1" customWidth="1"/>
    <col min="21" max="21" width="0" style="215" hidden="1" customWidth="1"/>
    <col min="22" max="22" width="23.7109375" style="171" customWidth="1"/>
    <col min="23" max="23" width="21.85546875" style="1" customWidth="1"/>
    <col min="24" max="24" width="14.7109375" style="171" bestFit="1" customWidth="1"/>
    <col min="25" max="25" width="24.42578125" style="171" hidden="1" customWidth="1"/>
    <col min="26" max="26" width="19.140625" style="171" hidden="1" customWidth="1"/>
    <col min="27" max="27" width="15.85546875" style="171" hidden="1" customWidth="1"/>
    <col min="28" max="28" width="0" style="171" hidden="1" customWidth="1"/>
    <col min="29" max="29" width="24.140625" style="171" hidden="1" customWidth="1"/>
    <col min="30" max="30" width="9.140625" style="171"/>
    <col min="31" max="31" width="15.140625" style="171" hidden="1" customWidth="1"/>
    <col min="32" max="16384" width="9.140625" style="171"/>
  </cols>
  <sheetData>
    <row r="1" spans="1:39" ht="30" customHeight="1" x14ac:dyDescent="0.2">
      <c r="A1" s="218" t="s">
        <v>217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</row>
    <row r="2" spans="1:39" ht="18.75" x14ac:dyDescent="0.3">
      <c r="A2" s="18" t="s">
        <v>48</v>
      </c>
      <c r="B2" s="172"/>
      <c r="C2" s="172"/>
      <c r="D2" s="81"/>
      <c r="E2" s="172"/>
      <c r="F2" s="81"/>
      <c r="G2" s="172"/>
      <c r="H2" s="172"/>
      <c r="I2" s="172"/>
      <c r="J2" s="172"/>
      <c r="K2" s="172"/>
      <c r="L2" s="172"/>
      <c r="M2" s="172"/>
      <c r="O2" s="81"/>
      <c r="V2" s="81"/>
      <c r="W2" s="3" t="s">
        <v>13</v>
      </c>
      <c r="X2" s="3"/>
    </row>
    <row r="3" spans="1:39" s="52" customFormat="1" ht="15" customHeight="1" x14ac:dyDescent="0.25">
      <c r="A3" s="224" t="s">
        <v>0</v>
      </c>
      <c r="B3" s="228" t="s">
        <v>1</v>
      </c>
      <c r="C3" s="228" t="s">
        <v>2</v>
      </c>
      <c r="D3" s="223" t="s">
        <v>148</v>
      </c>
      <c r="E3" s="223" t="s">
        <v>149</v>
      </c>
      <c r="F3" s="223" t="s">
        <v>207</v>
      </c>
      <c r="G3" s="223" t="s">
        <v>64</v>
      </c>
      <c r="H3" s="223" t="s">
        <v>164</v>
      </c>
      <c r="I3" s="223" t="s">
        <v>174</v>
      </c>
      <c r="J3" s="223" t="s">
        <v>182</v>
      </c>
      <c r="K3" s="223" t="s">
        <v>200</v>
      </c>
      <c r="L3" s="223" t="s">
        <v>201</v>
      </c>
      <c r="M3" s="223" t="s">
        <v>206</v>
      </c>
      <c r="N3" s="223" t="s">
        <v>216</v>
      </c>
      <c r="O3" s="223" t="s">
        <v>208</v>
      </c>
      <c r="P3" s="223" t="s">
        <v>209</v>
      </c>
      <c r="Q3" s="223" t="s">
        <v>3</v>
      </c>
      <c r="R3" s="223" t="s">
        <v>210</v>
      </c>
      <c r="S3" s="223" t="s">
        <v>211</v>
      </c>
      <c r="T3" s="223" t="s">
        <v>3</v>
      </c>
      <c r="U3" s="187"/>
      <c r="V3" s="223" t="s">
        <v>212</v>
      </c>
      <c r="W3" s="223" t="s">
        <v>213</v>
      </c>
      <c r="X3" s="223" t="s">
        <v>3</v>
      </c>
    </row>
    <row r="4" spans="1:39" s="52" customFormat="1" ht="79.5" customHeight="1" x14ac:dyDescent="0.25">
      <c r="A4" s="224"/>
      <c r="B4" s="228"/>
      <c r="C4" s="228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187"/>
      <c r="V4" s="223"/>
      <c r="W4" s="223"/>
      <c r="X4" s="223"/>
    </row>
    <row r="5" spans="1:39" s="55" customFormat="1" ht="20.25" x14ac:dyDescent="0.2">
      <c r="A5" s="53" t="s">
        <v>4</v>
      </c>
      <c r="B5" s="149" t="s">
        <v>5</v>
      </c>
      <c r="C5" s="149">
        <f>B5+1</f>
        <v>3</v>
      </c>
      <c r="D5" s="149">
        <f>C5+1</f>
        <v>4</v>
      </c>
      <c r="E5" s="149">
        <v>4</v>
      </c>
      <c r="F5" s="149">
        <f t="shared" ref="F5:X5" si="0">E5+1</f>
        <v>5</v>
      </c>
      <c r="G5" s="149">
        <f t="shared" si="0"/>
        <v>6</v>
      </c>
      <c r="H5" s="149">
        <f t="shared" ref="H5" si="1">G5+1</f>
        <v>7</v>
      </c>
      <c r="I5" s="149">
        <f t="shared" ref="I5" si="2">H5+1</f>
        <v>8</v>
      </c>
      <c r="J5" s="149">
        <f t="shared" ref="J5" si="3">I5+1</f>
        <v>9</v>
      </c>
      <c r="K5" s="149"/>
      <c r="L5" s="149"/>
      <c r="M5" s="149">
        <f t="shared" ref="M5" si="4">J5+1</f>
        <v>10</v>
      </c>
      <c r="N5" s="149">
        <v>6</v>
      </c>
      <c r="O5" s="149">
        <v>8</v>
      </c>
      <c r="P5" s="149">
        <f t="shared" si="0"/>
        <v>9</v>
      </c>
      <c r="Q5" s="149">
        <f t="shared" si="0"/>
        <v>10</v>
      </c>
      <c r="R5" s="149">
        <f t="shared" si="0"/>
        <v>11</v>
      </c>
      <c r="S5" s="149">
        <f t="shared" si="0"/>
        <v>12</v>
      </c>
      <c r="T5" s="149">
        <f t="shared" si="0"/>
        <v>13</v>
      </c>
      <c r="U5" s="188"/>
      <c r="V5" s="149">
        <v>7</v>
      </c>
      <c r="W5" s="149">
        <f t="shared" si="0"/>
        <v>8</v>
      </c>
      <c r="X5" s="149">
        <f t="shared" si="0"/>
        <v>9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</row>
    <row r="6" spans="1:39" s="57" customFormat="1" ht="26.25" customHeight="1" x14ac:dyDescent="0.2">
      <c r="A6" s="56"/>
      <c r="B6" s="219" t="s">
        <v>6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</row>
    <row r="7" spans="1:39" s="152" customFormat="1" ht="33" customHeight="1" x14ac:dyDescent="0.25">
      <c r="A7" s="150">
        <v>1</v>
      </c>
      <c r="B7" s="64" t="s">
        <v>68</v>
      </c>
      <c r="C7" s="151" t="s">
        <v>14</v>
      </c>
      <c r="D7" s="156">
        <v>2398057.0789999999</v>
      </c>
      <c r="E7" s="156">
        <v>2398057.0789999999</v>
      </c>
      <c r="F7" s="156">
        <f t="shared" ref="F7:F13" si="5">SUM(G7:M7)</f>
        <v>1309937.6800000002</v>
      </c>
      <c r="G7" s="156">
        <v>146999.421</v>
      </c>
      <c r="H7" s="156">
        <v>179706.05300000001</v>
      </c>
      <c r="I7" s="156">
        <v>188112.742</v>
      </c>
      <c r="J7" s="156">
        <v>196904.038</v>
      </c>
      <c r="K7" s="156">
        <v>184793.12400000001</v>
      </c>
      <c r="L7" s="156">
        <v>216858.70499999999</v>
      </c>
      <c r="M7" s="156">
        <v>196563.59700000001</v>
      </c>
      <c r="N7" s="159">
        <f t="shared" ref="N7:N23" si="6">F7/E7*100</f>
        <v>54.624958324438623</v>
      </c>
      <c r="O7" s="157">
        <v>1223070.8870000001</v>
      </c>
      <c r="P7" s="158">
        <f t="shared" ref="P7:P41" si="7">F7-O7</f>
        <v>86866.793000000063</v>
      </c>
      <c r="Q7" s="159">
        <f t="shared" ref="Q7:Q14" si="8">F7/O7*100</f>
        <v>107.10235146002623</v>
      </c>
      <c r="R7" s="158">
        <f>E7/12*7</f>
        <v>1398866.6294166665</v>
      </c>
      <c r="S7" s="158">
        <f t="shared" ref="S7:S41" si="9">F7-R7</f>
        <v>-88928.949416666292</v>
      </c>
      <c r="T7" s="159">
        <f t="shared" ref="T7:T39" si="10">F7/R7*100</f>
        <v>93.64278569903766</v>
      </c>
      <c r="U7" s="189"/>
      <c r="V7" s="156">
        <v>1068784.8130000001</v>
      </c>
      <c r="W7" s="158">
        <f t="shared" ref="W7:W41" si="11">F7-V7</f>
        <v>241152.86700000009</v>
      </c>
      <c r="X7" s="159">
        <f>F7/V7*100</f>
        <v>122.56327598098085</v>
      </c>
      <c r="Y7" s="58"/>
      <c r="Z7" s="58"/>
      <c r="AA7" s="58">
        <f>Y7-Z7</f>
        <v>0</v>
      </c>
      <c r="AB7" s="59" t="e">
        <f>Y7/Z7*100</f>
        <v>#DIV/0!</v>
      </c>
    </row>
    <row r="8" spans="1:39" s="152" customFormat="1" ht="39" x14ac:dyDescent="0.25">
      <c r="A8" s="150">
        <f>A7+1</f>
        <v>2</v>
      </c>
      <c r="B8" s="64" t="s">
        <v>35</v>
      </c>
      <c r="C8" s="151" t="s">
        <v>16</v>
      </c>
      <c r="D8" s="156">
        <v>1100</v>
      </c>
      <c r="E8" s="156">
        <v>1100</v>
      </c>
      <c r="F8" s="156">
        <f t="shared" si="5"/>
        <v>698.85700000000008</v>
      </c>
      <c r="G8" s="156">
        <v>70</v>
      </c>
      <c r="H8" s="156">
        <v>377.19400000000002</v>
      </c>
      <c r="I8" s="156">
        <v>102.018</v>
      </c>
      <c r="J8" s="156">
        <v>56.6</v>
      </c>
      <c r="K8" s="156">
        <v>69.45</v>
      </c>
      <c r="L8" s="156">
        <v>0</v>
      </c>
      <c r="M8" s="156">
        <v>23.594999999999999</v>
      </c>
      <c r="N8" s="159">
        <f t="shared" si="6"/>
        <v>63.532454545454556</v>
      </c>
      <c r="O8" s="157">
        <v>678</v>
      </c>
      <c r="P8" s="158">
        <f t="shared" si="7"/>
        <v>20.857000000000085</v>
      </c>
      <c r="Q8" s="159">
        <f t="shared" si="8"/>
        <v>103.07625368731566</v>
      </c>
      <c r="R8" s="158">
        <f t="shared" ref="R8:R46" si="12">E8/12*7</f>
        <v>641.66666666666674</v>
      </c>
      <c r="S8" s="158">
        <f t="shared" si="9"/>
        <v>57.190333333333342</v>
      </c>
      <c r="T8" s="159">
        <f t="shared" si="10"/>
        <v>108.91277922077921</v>
      </c>
      <c r="U8" s="189"/>
      <c r="V8" s="156">
        <v>784.02499999999998</v>
      </c>
      <c r="W8" s="158">
        <f t="shared" si="11"/>
        <v>-85.167999999999893</v>
      </c>
      <c r="X8" s="159">
        <f>F8/V8*100</f>
        <v>89.137081087975517</v>
      </c>
      <c r="Y8" s="58"/>
      <c r="Z8" s="58"/>
      <c r="AA8" s="58">
        <f>V7/0.5</f>
        <v>2137569.6260000002</v>
      </c>
      <c r="AB8" s="59">
        <f>Z8/AA8*100</f>
        <v>0</v>
      </c>
    </row>
    <row r="9" spans="1:39" s="152" customFormat="1" ht="39" x14ac:dyDescent="0.25">
      <c r="A9" s="150">
        <v>3</v>
      </c>
      <c r="B9" s="64" t="s">
        <v>113</v>
      </c>
      <c r="C9" s="151" t="s">
        <v>114</v>
      </c>
      <c r="D9" s="156">
        <f>SUM(D11:D13)</f>
        <v>506.88</v>
      </c>
      <c r="E9" s="156">
        <f>SUM(E10:E13)</f>
        <v>515.38</v>
      </c>
      <c r="F9" s="156">
        <f t="shared" si="5"/>
        <v>260.43</v>
      </c>
      <c r="G9" s="156">
        <f t="shared" ref="G9:O9" si="13">SUM(G10:G13)</f>
        <v>0.54200000000000004</v>
      </c>
      <c r="H9" s="156">
        <f t="shared" si="13"/>
        <v>122.19999999999999</v>
      </c>
      <c r="I9" s="156">
        <f t="shared" si="13"/>
        <v>2.044</v>
      </c>
      <c r="J9" s="156">
        <f t="shared" si="13"/>
        <v>2.8140000000000001</v>
      </c>
      <c r="K9" s="156">
        <f t="shared" ref="K9:L9" si="14">SUM(K10:K13)</f>
        <v>85.728000000000009</v>
      </c>
      <c r="L9" s="156">
        <f t="shared" si="14"/>
        <v>0</v>
      </c>
      <c r="M9" s="156">
        <f t="shared" si="13"/>
        <v>47.101999999999997</v>
      </c>
      <c r="N9" s="159">
        <f t="shared" si="6"/>
        <v>50.531646552058675</v>
      </c>
      <c r="O9" s="157">
        <f t="shared" si="13"/>
        <v>258.77499999999998</v>
      </c>
      <c r="P9" s="158">
        <f t="shared" si="7"/>
        <v>1.6550000000000296</v>
      </c>
      <c r="Q9" s="159">
        <f t="shared" si="8"/>
        <v>100.63955173413197</v>
      </c>
      <c r="R9" s="158">
        <f t="shared" si="12"/>
        <v>300.63833333333332</v>
      </c>
      <c r="S9" s="158">
        <f t="shared" si="9"/>
        <v>-40.208333333333314</v>
      </c>
      <c r="T9" s="159">
        <f t="shared" si="10"/>
        <v>86.625679803529167</v>
      </c>
      <c r="U9" s="189"/>
      <c r="V9" s="156">
        <f>SUM(V10:V13)</f>
        <v>231.143</v>
      </c>
      <c r="W9" s="158">
        <f t="shared" si="11"/>
        <v>29.287000000000006</v>
      </c>
      <c r="X9" s="159">
        <f>F9/V9*100</f>
        <v>112.67051132848496</v>
      </c>
      <c r="Y9" s="58"/>
      <c r="Z9" s="58"/>
      <c r="AA9" s="58"/>
      <c r="AB9" s="59"/>
    </row>
    <row r="10" spans="1:39" s="63" customFormat="1" ht="58.5" x14ac:dyDescent="0.25">
      <c r="A10" s="60" t="s">
        <v>115</v>
      </c>
      <c r="B10" s="135" t="s">
        <v>166</v>
      </c>
      <c r="C10" s="51" t="s">
        <v>165</v>
      </c>
      <c r="D10" s="160">
        <v>0</v>
      </c>
      <c r="E10" s="160">
        <f>8.5+14</f>
        <v>22.5</v>
      </c>
      <c r="F10" s="160">
        <f t="shared" si="5"/>
        <v>13.062999999999999</v>
      </c>
      <c r="G10" s="160">
        <v>0</v>
      </c>
      <c r="H10" s="160">
        <v>8.5109999999999992</v>
      </c>
      <c r="I10" s="160">
        <v>0</v>
      </c>
      <c r="J10" s="160">
        <v>0</v>
      </c>
      <c r="K10" s="160">
        <v>4.5519999999999996</v>
      </c>
      <c r="L10" s="160">
        <v>0</v>
      </c>
      <c r="M10" s="160">
        <v>0</v>
      </c>
      <c r="N10" s="161">
        <f t="shared" si="6"/>
        <v>58.057777777777773</v>
      </c>
      <c r="O10" s="98">
        <v>13</v>
      </c>
      <c r="P10" s="99">
        <f t="shared" si="7"/>
        <v>6.2999999999998835E-2</v>
      </c>
      <c r="Q10" s="161">
        <f t="shared" si="8"/>
        <v>100.48461538461537</v>
      </c>
      <c r="R10" s="99">
        <f t="shared" si="12"/>
        <v>13.125</v>
      </c>
      <c r="S10" s="99">
        <f t="shared" si="9"/>
        <v>-6.2000000000001165E-2</v>
      </c>
      <c r="T10" s="161">
        <f t="shared" ref="T10" si="15">F10/R10*100</f>
        <v>99.527619047619041</v>
      </c>
      <c r="U10" s="190"/>
      <c r="V10" s="160">
        <v>0</v>
      </c>
      <c r="W10" s="99">
        <f t="shared" si="11"/>
        <v>13.062999999999999</v>
      </c>
      <c r="X10" s="161"/>
    </row>
    <row r="11" spans="1:39" s="63" customFormat="1" ht="78" x14ac:dyDescent="0.25">
      <c r="A11" s="60" t="s">
        <v>116</v>
      </c>
      <c r="B11" s="135" t="s">
        <v>107</v>
      </c>
      <c r="C11" s="51" t="s">
        <v>108</v>
      </c>
      <c r="D11" s="160">
        <v>166.79</v>
      </c>
      <c r="E11" s="160">
        <v>166.79</v>
      </c>
      <c r="F11" s="160">
        <f t="shared" si="5"/>
        <v>113.35300000000001</v>
      </c>
      <c r="G11" s="160">
        <v>0</v>
      </c>
      <c r="H11" s="160">
        <v>53.468000000000004</v>
      </c>
      <c r="I11" s="160">
        <v>0</v>
      </c>
      <c r="J11" s="160">
        <v>0</v>
      </c>
      <c r="K11" s="160">
        <v>14.064</v>
      </c>
      <c r="L11" s="160">
        <v>0</v>
      </c>
      <c r="M11" s="160">
        <v>45.820999999999998</v>
      </c>
      <c r="N11" s="161">
        <f t="shared" si="6"/>
        <v>67.961508483722056</v>
      </c>
      <c r="O11" s="98">
        <v>112.5</v>
      </c>
      <c r="P11" s="99">
        <f t="shared" si="7"/>
        <v>0.85300000000000864</v>
      </c>
      <c r="Q11" s="161">
        <f t="shared" si="8"/>
        <v>100.75822222222224</v>
      </c>
      <c r="R11" s="99">
        <f t="shared" si="12"/>
        <v>97.294166666666655</v>
      </c>
      <c r="S11" s="99">
        <f t="shared" si="9"/>
        <v>16.058833333333354</v>
      </c>
      <c r="T11" s="161">
        <f>F11/R11*100</f>
        <v>116.5054431149521</v>
      </c>
      <c r="U11" s="190"/>
      <c r="V11" s="160">
        <v>51.515000000000001</v>
      </c>
      <c r="W11" s="99">
        <f t="shared" si="11"/>
        <v>61.838000000000008</v>
      </c>
      <c r="X11" s="161">
        <f t="shared" ref="X11" si="16">F11/V11*100</f>
        <v>220.03882364359896</v>
      </c>
    </row>
    <row r="12" spans="1:39" s="63" customFormat="1" ht="42" customHeight="1" x14ac:dyDescent="0.25">
      <c r="A12" s="60" t="s">
        <v>117</v>
      </c>
      <c r="B12" s="135" t="s">
        <v>152</v>
      </c>
      <c r="C12" s="51" t="s">
        <v>112</v>
      </c>
      <c r="D12" s="160">
        <v>82.45</v>
      </c>
      <c r="E12" s="160">
        <v>82.45</v>
      </c>
      <c r="F12" s="160">
        <f t="shared" si="5"/>
        <v>33.085000000000008</v>
      </c>
      <c r="G12" s="160">
        <v>0.54200000000000004</v>
      </c>
      <c r="H12" s="160">
        <v>16.193000000000001</v>
      </c>
      <c r="I12" s="160">
        <v>4.4999999999999998E-2</v>
      </c>
      <c r="J12" s="160">
        <v>2.8140000000000001</v>
      </c>
      <c r="K12" s="160">
        <v>12.21</v>
      </c>
      <c r="L12" s="160">
        <v>0</v>
      </c>
      <c r="M12" s="160">
        <v>1.2809999999999999</v>
      </c>
      <c r="N12" s="161">
        <f t="shared" si="6"/>
        <v>40.127349909035786</v>
      </c>
      <c r="O12" s="98">
        <v>32.375</v>
      </c>
      <c r="P12" s="99">
        <f t="shared" si="7"/>
        <v>0.71000000000000796</v>
      </c>
      <c r="Q12" s="161">
        <f t="shared" si="8"/>
        <v>102.19305019305023</v>
      </c>
      <c r="R12" s="99">
        <f t="shared" si="12"/>
        <v>48.095833333333331</v>
      </c>
      <c r="S12" s="99">
        <f t="shared" si="9"/>
        <v>-15.010833333333323</v>
      </c>
      <c r="T12" s="161">
        <f t="shared" si="10"/>
        <v>68.789742701204219</v>
      </c>
      <c r="U12" s="190"/>
      <c r="V12" s="160">
        <v>37.253999999999998</v>
      </c>
      <c r="W12" s="99">
        <f t="shared" si="11"/>
        <v>-4.1689999999999898</v>
      </c>
      <c r="X12" s="161">
        <f>F12/V12*100</f>
        <v>88.809255381972434</v>
      </c>
    </row>
    <row r="13" spans="1:39" s="63" customFormat="1" ht="39" x14ac:dyDescent="0.25">
      <c r="A13" s="60" t="s">
        <v>167</v>
      </c>
      <c r="B13" s="135" t="s">
        <v>151</v>
      </c>
      <c r="C13" s="51" t="s">
        <v>150</v>
      </c>
      <c r="D13" s="160">
        <v>257.64</v>
      </c>
      <c r="E13" s="160">
        <f>257.64-14</f>
        <v>243.64</v>
      </c>
      <c r="F13" s="160">
        <f t="shared" si="5"/>
        <v>100.929</v>
      </c>
      <c r="G13" s="160">
        <v>0</v>
      </c>
      <c r="H13" s="160">
        <v>44.027999999999999</v>
      </c>
      <c r="I13" s="160">
        <v>1.9990000000000001</v>
      </c>
      <c r="J13" s="160">
        <v>0</v>
      </c>
      <c r="K13" s="160">
        <v>54.902000000000001</v>
      </c>
      <c r="L13" s="160">
        <v>0</v>
      </c>
      <c r="M13" s="160">
        <v>0</v>
      </c>
      <c r="N13" s="161">
        <f t="shared" si="6"/>
        <v>41.425463799047776</v>
      </c>
      <c r="O13" s="98">
        <v>100.9</v>
      </c>
      <c r="P13" s="99">
        <f t="shared" si="7"/>
        <v>2.8999999999996362E-2</v>
      </c>
      <c r="Q13" s="161">
        <f t="shared" si="8"/>
        <v>100.02874132804757</v>
      </c>
      <c r="R13" s="99">
        <f t="shared" si="12"/>
        <v>142.12333333333331</v>
      </c>
      <c r="S13" s="99">
        <f t="shared" si="9"/>
        <v>-41.194333333333304</v>
      </c>
      <c r="T13" s="161">
        <f t="shared" si="10"/>
        <v>71.01508079836762</v>
      </c>
      <c r="U13" s="190"/>
      <c r="V13" s="160">
        <v>142.374</v>
      </c>
      <c r="W13" s="99">
        <f t="shared" si="11"/>
        <v>-41.444999999999993</v>
      </c>
      <c r="X13" s="161">
        <f>F13/V13*100</f>
        <v>70.890050149605983</v>
      </c>
    </row>
    <row r="14" spans="1:39" s="152" customFormat="1" ht="23.25" x14ac:dyDescent="0.25">
      <c r="A14" s="150">
        <v>4</v>
      </c>
      <c r="B14" s="86" t="s">
        <v>94</v>
      </c>
      <c r="C14" s="82" t="s">
        <v>93</v>
      </c>
      <c r="D14" s="156">
        <f>SUM(D15:D17)</f>
        <v>247766</v>
      </c>
      <c r="E14" s="156">
        <f>SUM(E15:E17)</f>
        <v>247766</v>
      </c>
      <c r="F14" s="156">
        <f t="shared" ref="F14:F75" si="17">SUM(G14:M14)</f>
        <v>123524.46599999999</v>
      </c>
      <c r="G14" s="156">
        <f t="shared" ref="G14:O14" si="18">SUM(G15:G17)</f>
        <v>9113.7909999999993</v>
      </c>
      <c r="H14" s="156">
        <f t="shared" ref="H14:L14" si="19">SUM(H15:H17)</f>
        <v>6708.6940000000004</v>
      </c>
      <c r="I14" s="156">
        <f t="shared" si="19"/>
        <v>36301.611000000004</v>
      </c>
      <c r="J14" s="156">
        <f t="shared" si="19"/>
        <v>18813.798999999999</v>
      </c>
      <c r="K14" s="156">
        <f t="shared" si="19"/>
        <v>19997.205999999998</v>
      </c>
      <c r="L14" s="156">
        <f t="shared" si="19"/>
        <v>20472.231999999996</v>
      </c>
      <c r="M14" s="156">
        <f t="shared" si="18"/>
        <v>12117.133</v>
      </c>
      <c r="N14" s="159">
        <f t="shared" si="6"/>
        <v>49.85529330093717</v>
      </c>
      <c r="O14" s="157">
        <f t="shared" si="18"/>
        <v>120003.378</v>
      </c>
      <c r="P14" s="158">
        <f t="shared" si="7"/>
        <v>3521.0879999999888</v>
      </c>
      <c r="Q14" s="159">
        <f t="shared" si="8"/>
        <v>102.93415740346907</v>
      </c>
      <c r="R14" s="158">
        <f t="shared" si="12"/>
        <v>144530.16666666669</v>
      </c>
      <c r="S14" s="158">
        <f t="shared" si="9"/>
        <v>-21005.7006666667</v>
      </c>
      <c r="T14" s="159">
        <f t="shared" si="10"/>
        <v>85.466217087320857</v>
      </c>
      <c r="U14" s="189"/>
      <c r="V14" s="156">
        <f t="shared" ref="V14" si="20">SUM(V15:V17)</f>
        <v>114479.041</v>
      </c>
      <c r="W14" s="158">
        <f t="shared" si="11"/>
        <v>9045.4249999999884</v>
      </c>
      <c r="X14" s="159">
        <f>F14/V14*100</f>
        <v>107.90138083005078</v>
      </c>
    </row>
    <row r="15" spans="1:39" s="63" customFormat="1" ht="39" x14ac:dyDescent="0.25">
      <c r="A15" s="60" t="s">
        <v>130</v>
      </c>
      <c r="B15" s="135" t="s">
        <v>100</v>
      </c>
      <c r="C15" s="51" t="s">
        <v>91</v>
      </c>
      <c r="D15" s="160">
        <v>25500</v>
      </c>
      <c r="E15" s="160">
        <v>25500</v>
      </c>
      <c r="F15" s="160">
        <f>SUM(G15:M15)</f>
        <v>13356.534</v>
      </c>
      <c r="G15" s="160">
        <v>0</v>
      </c>
      <c r="H15" s="160">
        <v>0</v>
      </c>
      <c r="I15" s="160">
        <v>6236.9179999999997</v>
      </c>
      <c r="J15" s="160">
        <v>2120.248</v>
      </c>
      <c r="K15" s="160">
        <v>2421.9479999999999</v>
      </c>
      <c r="L15" s="160">
        <v>2577.42</v>
      </c>
      <c r="M15" s="160">
        <v>0</v>
      </c>
      <c r="N15" s="161">
        <f t="shared" si="6"/>
        <v>52.378564705882347</v>
      </c>
      <c r="O15" s="98">
        <v>13349.44</v>
      </c>
      <c r="P15" s="99">
        <f t="shared" si="7"/>
        <v>7.0939999999991414</v>
      </c>
      <c r="Q15" s="161">
        <f t="shared" ref="Q15:Q27" si="21">F15/O15*100</f>
        <v>100.05314080590647</v>
      </c>
      <c r="R15" s="99">
        <f t="shared" si="12"/>
        <v>14875</v>
      </c>
      <c r="S15" s="99">
        <f t="shared" si="9"/>
        <v>-1518.4660000000003</v>
      </c>
      <c r="T15" s="161">
        <f t="shared" si="10"/>
        <v>89.791825210084028</v>
      </c>
      <c r="U15" s="190"/>
      <c r="V15" s="160">
        <v>10382.178</v>
      </c>
      <c r="W15" s="99">
        <f t="shared" si="11"/>
        <v>2974.3559999999998</v>
      </c>
      <c r="X15" s="161">
        <f t="shared" ref="X15:X18" si="22">F15/V15*100</f>
        <v>128.64867082802857</v>
      </c>
      <c r="Y15" s="61">
        <f>V15+V16</f>
        <v>46257.409</v>
      </c>
      <c r="Z15" s="61">
        <f>F15+F16</f>
        <v>58717.851999999999</v>
      </c>
    </row>
    <row r="16" spans="1:39" s="63" customFormat="1" ht="39" x14ac:dyDescent="0.25">
      <c r="A16" s="60" t="s">
        <v>131</v>
      </c>
      <c r="B16" s="135" t="s">
        <v>101</v>
      </c>
      <c r="C16" s="51" t="s">
        <v>92</v>
      </c>
      <c r="D16" s="160">
        <v>87500</v>
      </c>
      <c r="E16" s="160">
        <v>87500</v>
      </c>
      <c r="F16" s="160">
        <f t="shared" si="17"/>
        <v>45361.317999999999</v>
      </c>
      <c r="G16" s="160">
        <v>0</v>
      </c>
      <c r="H16" s="160">
        <v>0</v>
      </c>
      <c r="I16" s="160">
        <v>21013.128000000001</v>
      </c>
      <c r="J16" s="160">
        <v>8063.9430000000002</v>
      </c>
      <c r="K16" s="160">
        <v>8167.2610000000004</v>
      </c>
      <c r="L16" s="160">
        <v>8116.9859999999999</v>
      </c>
      <c r="M16" s="160">
        <v>0</v>
      </c>
      <c r="N16" s="161">
        <f t="shared" si="6"/>
        <v>51.841506285714289</v>
      </c>
      <c r="O16" s="98">
        <v>45325</v>
      </c>
      <c r="P16" s="99">
        <f t="shared" si="7"/>
        <v>36.317999999999302</v>
      </c>
      <c r="Q16" s="161">
        <f t="shared" si="21"/>
        <v>100.08012796469939</v>
      </c>
      <c r="R16" s="99">
        <f t="shared" si="12"/>
        <v>51041.666666666672</v>
      </c>
      <c r="S16" s="99">
        <f t="shared" si="9"/>
        <v>-5680.3486666666722</v>
      </c>
      <c r="T16" s="161">
        <f t="shared" si="10"/>
        <v>88.871153632653062</v>
      </c>
      <c r="U16" s="190"/>
      <c r="V16" s="160">
        <v>35875.231</v>
      </c>
      <c r="W16" s="99">
        <f t="shared" si="11"/>
        <v>9486.0869999999995</v>
      </c>
      <c r="X16" s="161">
        <f t="shared" si="22"/>
        <v>126.44188409546409</v>
      </c>
    </row>
    <row r="17" spans="1:27" s="63" customFormat="1" ht="47.25" customHeight="1" x14ac:dyDescent="0.25">
      <c r="A17" s="60" t="s">
        <v>132</v>
      </c>
      <c r="B17" s="135" t="s">
        <v>102</v>
      </c>
      <c r="C17" s="51" t="s">
        <v>57</v>
      </c>
      <c r="D17" s="160">
        <v>134766</v>
      </c>
      <c r="E17" s="160">
        <v>134766</v>
      </c>
      <c r="F17" s="160">
        <f t="shared" si="17"/>
        <v>64806.614000000001</v>
      </c>
      <c r="G17" s="160">
        <v>9113.7909999999993</v>
      </c>
      <c r="H17" s="160">
        <v>6708.6940000000004</v>
      </c>
      <c r="I17" s="160">
        <v>9051.5650000000005</v>
      </c>
      <c r="J17" s="160">
        <v>8629.6080000000002</v>
      </c>
      <c r="K17" s="160">
        <v>9407.9969999999994</v>
      </c>
      <c r="L17" s="160">
        <v>9777.8259999999991</v>
      </c>
      <c r="M17" s="160">
        <v>12117.133</v>
      </c>
      <c r="N17" s="161">
        <f t="shared" si="6"/>
        <v>48.088252229790896</v>
      </c>
      <c r="O17" s="98">
        <v>61328.938000000002</v>
      </c>
      <c r="P17" s="99">
        <f t="shared" si="7"/>
        <v>3477.6759999999995</v>
      </c>
      <c r="Q17" s="161">
        <f t="shared" si="21"/>
        <v>105.67053028050151</v>
      </c>
      <c r="R17" s="99">
        <f t="shared" si="12"/>
        <v>78613.5</v>
      </c>
      <c r="S17" s="99">
        <f t="shared" si="9"/>
        <v>-13806.885999999999</v>
      </c>
      <c r="T17" s="161">
        <f t="shared" si="10"/>
        <v>82.437003822498681</v>
      </c>
      <c r="U17" s="190"/>
      <c r="V17" s="160">
        <v>68221.631999999998</v>
      </c>
      <c r="W17" s="99">
        <f t="shared" si="11"/>
        <v>-3415.0179999999964</v>
      </c>
      <c r="X17" s="161">
        <f t="shared" si="22"/>
        <v>94.99422998265419</v>
      </c>
    </row>
    <row r="18" spans="1:27" s="87" customFormat="1" ht="39" x14ac:dyDescent="0.25">
      <c r="A18" s="150">
        <v>5</v>
      </c>
      <c r="B18" s="64" t="s">
        <v>153</v>
      </c>
      <c r="C18" s="151" t="s">
        <v>37</v>
      </c>
      <c r="D18" s="156">
        <f>D19+D20+D21+D23+D22</f>
        <v>1024661.45</v>
      </c>
      <c r="E18" s="156">
        <f>E19+E20+E21+E23+E22</f>
        <v>1024440.45</v>
      </c>
      <c r="F18" s="156">
        <f t="shared" si="17"/>
        <v>567557.00899999996</v>
      </c>
      <c r="G18" s="156">
        <f t="shared" ref="G18:O18" si="23">G19+G20+G21+G23+G22</f>
        <v>75712.956999999995</v>
      </c>
      <c r="H18" s="156">
        <f t="shared" ref="H18:L18" si="24">H19+H20+H21+H23+H22</f>
        <v>111045.80699999999</v>
      </c>
      <c r="I18" s="156">
        <f t="shared" si="24"/>
        <v>44534.228999999999</v>
      </c>
      <c r="J18" s="156">
        <f t="shared" si="24"/>
        <v>86744.623999999996</v>
      </c>
      <c r="K18" s="156">
        <f t="shared" si="24"/>
        <v>95406.558000000005</v>
      </c>
      <c r="L18" s="156">
        <f t="shared" si="24"/>
        <v>48319.159</v>
      </c>
      <c r="M18" s="156">
        <f t="shared" si="23"/>
        <v>105793.67499999999</v>
      </c>
      <c r="N18" s="159">
        <f t="shared" si="6"/>
        <v>55.401659413194778</v>
      </c>
      <c r="O18" s="157">
        <f t="shared" si="23"/>
        <v>549604.22700000007</v>
      </c>
      <c r="P18" s="158">
        <f t="shared" si="7"/>
        <v>17952.78199999989</v>
      </c>
      <c r="Q18" s="159">
        <f t="shared" si="21"/>
        <v>103.26649270839758</v>
      </c>
      <c r="R18" s="158">
        <f t="shared" si="12"/>
        <v>597590.26249999995</v>
      </c>
      <c r="S18" s="158">
        <f t="shared" si="9"/>
        <v>-30033.253499999992</v>
      </c>
      <c r="T18" s="159">
        <f t="shared" si="10"/>
        <v>94.974273279762485</v>
      </c>
      <c r="U18" s="191"/>
      <c r="V18" s="156">
        <f>V19+V20+V21+V23+V22</f>
        <v>487481.08400000003</v>
      </c>
      <c r="W18" s="158">
        <f t="shared" si="11"/>
        <v>80075.92499999993</v>
      </c>
      <c r="X18" s="159">
        <f t="shared" si="22"/>
        <v>116.42646814989028</v>
      </c>
      <c r="Y18" s="109">
        <f>V20+V21+V19</f>
        <v>164332.40700000001</v>
      </c>
      <c r="Z18" s="109">
        <f>F19+F20+F21</f>
        <v>203789.31099999999</v>
      </c>
    </row>
    <row r="19" spans="1:27" s="89" customFormat="1" ht="23.25" x14ac:dyDescent="0.25">
      <c r="A19" s="88" t="s">
        <v>155</v>
      </c>
      <c r="B19" s="136" t="s">
        <v>58</v>
      </c>
      <c r="C19" s="225" t="s">
        <v>43</v>
      </c>
      <c r="D19" s="160">
        <f>1213.85+13965.32+18822.08+58666</f>
        <v>92667.25</v>
      </c>
      <c r="E19" s="160">
        <v>92667.25</v>
      </c>
      <c r="F19" s="160">
        <f t="shared" si="17"/>
        <v>63332.157999999996</v>
      </c>
      <c r="G19" s="160">
        <v>9723.7669999999998</v>
      </c>
      <c r="H19" s="160">
        <v>3035.268</v>
      </c>
      <c r="I19" s="160">
        <v>4604.7759999999998</v>
      </c>
      <c r="J19" s="160">
        <v>15771.471</v>
      </c>
      <c r="K19" s="160">
        <v>6016.8990000000003</v>
      </c>
      <c r="L19" s="160">
        <v>6114.5559999999996</v>
      </c>
      <c r="M19" s="160">
        <v>18065.420999999998</v>
      </c>
      <c r="N19" s="161">
        <f t="shared" si="6"/>
        <v>68.343625175021373</v>
      </c>
      <c r="O19" s="98">
        <v>62422.940999999999</v>
      </c>
      <c r="P19" s="99">
        <f t="shared" si="7"/>
        <v>909.21699999999691</v>
      </c>
      <c r="Q19" s="161">
        <f t="shared" si="21"/>
        <v>101.45654303599696</v>
      </c>
      <c r="R19" s="107">
        <f t="shared" si="12"/>
        <v>54055.895833333328</v>
      </c>
      <c r="S19" s="99">
        <f t="shared" si="9"/>
        <v>9276.2621666666673</v>
      </c>
      <c r="T19" s="161">
        <f t="shared" si="10"/>
        <v>117.16050030003666</v>
      </c>
      <c r="U19" s="193"/>
      <c r="V19" s="160">
        <v>42103.534</v>
      </c>
      <c r="W19" s="99">
        <f>F19-V19</f>
        <v>21228.623999999996</v>
      </c>
      <c r="X19" s="161">
        <f>F19/V19*100</f>
        <v>150.4200526255112</v>
      </c>
    </row>
    <row r="20" spans="1:27" s="89" customFormat="1" ht="32.25" customHeight="1" x14ac:dyDescent="0.25">
      <c r="A20" s="60" t="s">
        <v>156</v>
      </c>
      <c r="B20" s="136" t="s">
        <v>7</v>
      </c>
      <c r="C20" s="225"/>
      <c r="D20" s="160">
        <v>300000</v>
      </c>
      <c r="E20" s="160">
        <f>299591.5-402.5</f>
        <v>299189</v>
      </c>
      <c r="F20" s="160">
        <f t="shared" si="17"/>
        <v>139323.93299999999</v>
      </c>
      <c r="G20" s="160">
        <v>15633.511</v>
      </c>
      <c r="H20" s="160">
        <v>21109.75</v>
      </c>
      <c r="I20" s="160">
        <v>19376.571</v>
      </c>
      <c r="J20" s="160">
        <v>19580.672999999999</v>
      </c>
      <c r="K20" s="160">
        <v>20458.473999999998</v>
      </c>
      <c r="L20" s="160">
        <v>21838.977999999999</v>
      </c>
      <c r="M20" s="160">
        <v>21325.975999999999</v>
      </c>
      <c r="N20" s="161">
        <f t="shared" si="6"/>
        <v>46.56719765766789</v>
      </c>
      <c r="O20" s="98">
        <v>137972.78599999999</v>
      </c>
      <c r="P20" s="99">
        <f t="shared" si="7"/>
        <v>1351.1469999999972</v>
      </c>
      <c r="Q20" s="161">
        <f t="shared" si="21"/>
        <v>100.97928514685496</v>
      </c>
      <c r="R20" s="158">
        <f t="shared" si="12"/>
        <v>174526.91666666669</v>
      </c>
      <c r="S20" s="99">
        <f t="shared" si="9"/>
        <v>-35202.983666666696</v>
      </c>
      <c r="T20" s="161">
        <f t="shared" si="10"/>
        <v>79.82948169885924</v>
      </c>
      <c r="U20" s="193"/>
      <c r="V20" s="160">
        <v>120939.49500000001</v>
      </c>
      <c r="W20" s="99">
        <f>F20-V20</f>
        <v>18384.43799999998</v>
      </c>
      <c r="X20" s="161">
        <f>F20/V20*100</f>
        <v>115.20135171723678</v>
      </c>
    </row>
    <row r="21" spans="1:27" s="89" customFormat="1" ht="32.25" customHeight="1" x14ac:dyDescent="0.25">
      <c r="A21" s="60" t="s">
        <v>157</v>
      </c>
      <c r="B21" s="136" t="s">
        <v>59</v>
      </c>
      <c r="C21" s="225"/>
      <c r="D21" s="160">
        <f>250+225</f>
        <v>475</v>
      </c>
      <c r="E21" s="160">
        <f>865+200</f>
        <v>1065</v>
      </c>
      <c r="F21" s="160">
        <f t="shared" si="17"/>
        <v>1133.22</v>
      </c>
      <c r="G21" s="160">
        <v>324.197</v>
      </c>
      <c r="H21" s="160">
        <v>49.052999999999997</v>
      </c>
      <c r="I21" s="160">
        <v>157.625</v>
      </c>
      <c r="J21" s="160">
        <v>242.58</v>
      </c>
      <c r="K21" s="160">
        <v>119.52200000000001</v>
      </c>
      <c r="L21" s="160">
        <v>44.167000000000002</v>
      </c>
      <c r="M21" s="160">
        <v>196.07599999999999</v>
      </c>
      <c r="N21" s="161">
        <f t="shared" si="6"/>
        <v>106.40563380281691</v>
      </c>
      <c r="O21" s="98">
        <v>980</v>
      </c>
      <c r="P21" s="99">
        <f t="shared" si="7"/>
        <v>153.22000000000003</v>
      </c>
      <c r="Q21" s="161">
        <f t="shared" si="21"/>
        <v>115.63469387755103</v>
      </c>
      <c r="R21" s="158">
        <f t="shared" si="12"/>
        <v>621.25</v>
      </c>
      <c r="S21" s="99">
        <f t="shared" si="9"/>
        <v>511.97</v>
      </c>
      <c r="T21" s="161">
        <f t="shared" si="10"/>
        <v>182.4096579476861</v>
      </c>
      <c r="U21" s="193"/>
      <c r="V21" s="160">
        <v>1289.3780000000002</v>
      </c>
      <c r="W21" s="99">
        <f>F21-V21</f>
        <v>-156.15800000000013</v>
      </c>
      <c r="X21" s="161">
        <f>F21/V21*100</f>
        <v>87.888889061237279</v>
      </c>
      <c r="Y21" s="161">
        <f>100-X21</f>
        <v>12.111110938762721</v>
      </c>
      <c r="Z21" s="90"/>
      <c r="AA21" s="91" t="e">
        <f>F19/#REF!*100</f>
        <v>#REF!</v>
      </c>
    </row>
    <row r="22" spans="1:27" s="93" customFormat="1" ht="32.25" customHeight="1" x14ac:dyDescent="0.25">
      <c r="A22" s="60" t="s">
        <v>158</v>
      </c>
      <c r="B22" s="136" t="s">
        <v>39</v>
      </c>
      <c r="C22" s="92" t="s">
        <v>38</v>
      </c>
      <c r="D22" s="160">
        <v>950</v>
      </c>
      <c r="E22" s="160">
        <v>950</v>
      </c>
      <c r="F22" s="160">
        <f t="shared" si="17"/>
        <v>724.26600000000008</v>
      </c>
      <c r="G22" s="160">
        <v>59.935000000000002</v>
      </c>
      <c r="H22" s="160">
        <v>134.35900000000001</v>
      </c>
      <c r="I22" s="160">
        <v>29.998000000000001</v>
      </c>
      <c r="J22" s="160">
        <v>85.495000000000005</v>
      </c>
      <c r="K22" s="160">
        <v>203.86</v>
      </c>
      <c r="L22" s="160">
        <v>68.84</v>
      </c>
      <c r="M22" s="160">
        <v>141.779</v>
      </c>
      <c r="N22" s="161">
        <f t="shared" si="6"/>
        <v>76.238526315789485</v>
      </c>
      <c r="O22" s="98">
        <v>711.8</v>
      </c>
      <c r="P22" s="99">
        <f t="shared" si="7"/>
        <v>12.466000000000122</v>
      </c>
      <c r="Q22" s="161">
        <f t="shared" si="21"/>
        <v>101.7513346445631</v>
      </c>
      <c r="R22" s="158">
        <f t="shared" si="12"/>
        <v>554.16666666666674</v>
      </c>
      <c r="S22" s="99">
        <f t="shared" si="9"/>
        <v>170.09933333333333</v>
      </c>
      <c r="T22" s="161">
        <f t="shared" si="10"/>
        <v>130.69461654135338</v>
      </c>
      <c r="U22" s="194"/>
      <c r="V22" s="160">
        <v>527.221</v>
      </c>
      <c r="W22" s="160">
        <f>F22-V22</f>
        <v>197.04500000000007</v>
      </c>
      <c r="X22" s="161">
        <f>F22/V22*100</f>
        <v>137.37426999303898</v>
      </c>
    </row>
    <row r="23" spans="1:27" s="89" customFormat="1" ht="32.25" customHeight="1" x14ac:dyDescent="0.25">
      <c r="A23" s="60" t="s">
        <v>159</v>
      </c>
      <c r="B23" s="136" t="s">
        <v>32</v>
      </c>
      <c r="C23" s="192" t="s">
        <v>33</v>
      </c>
      <c r="D23" s="160">
        <v>630569.19999999995</v>
      </c>
      <c r="E23" s="160">
        <v>630569.19999999995</v>
      </c>
      <c r="F23" s="160">
        <f t="shared" si="17"/>
        <v>363043.43200000003</v>
      </c>
      <c r="G23" s="160">
        <v>49971.546999999999</v>
      </c>
      <c r="H23" s="160">
        <v>86717.376999999993</v>
      </c>
      <c r="I23" s="160">
        <v>20365.258999999998</v>
      </c>
      <c r="J23" s="160">
        <v>51064.404999999999</v>
      </c>
      <c r="K23" s="160">
        <v>68607.803</v>
      </c>
      <c r="L23" s="160">
        <v>20252.617999999999</v>
      </c>
      <c r="M23" s="160">
        <v>66064.422999999995</v>
      </c>
      <c r="N23" s="161">
        <f t="shared" si="6"/>
        <v>57.573924003899975</v>
      </c>
      <c r="O23" s="98">
        <v>347516.7</v>
      </c>
      <c r="P23" s="99">
        <f t="shared" si="7"/>
        <v>15526.732000000018</v>
      </c>
      <c r="Q23" s="161">
        <f t="shared" si="21"/>
        <v>104.46790959974011</v>
      </c>
      <c r="R23" s="158">
        <f t="shared" si="12"/>
        <v>367832.03333333327</v>
      </c>
      <c r="S23" s="99">
        <f t="shared" si="9"/>
        <v>-4788.6013333332376</v>
      </c>
      <c r="T23" s="161">
        <f t="shared" si="10"/>
        <v>98.698155435257121</v>
      </c>
      <c r="U23" s="193"/>
      <c r="V23" s="160">
        <v>322621.45600000001</v>
      </c>
      <c r="W23" s="99">
        <f>F23-V23</f>
        <v>40421.976000000024</v>
      </c>
      <c r="X23" s="161">
        <f>F23/V23*100</f>
        <v>112.52922744233106</v>
      </c>
      <c r="Z23" s="90"/>
      <c r="AA23" s="91" t="e">
        <f>F23/#REF!*100</f>
        <v>#REF!</v>
      </c>
    </row>
    <row r="24" spans="1:27" s="87" customFormat="1" ht="23.25" x14ac:dyDescent="0.25">
      <c r="A24" s="150">
        <v>6</v>
      </c>
      <c r="B24" s="139" t="s">
        <v>162</v>
      </c>
      <c r="C24" s="151" t="s">
        <v>163</v>
      </c>
      <c r="D24" s="156"/>
      <c r="E24" s="156"/>
      <c r="F24" s="156">
        <f t="shared" si="17"/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9"/>
      <c r="O24" s="157"/>
      <c r="P24" s="99">
        <f t="shared" si="7"/>
        <v>0</v>
      </c>
      <c r="Q24" s="159"/>
      <c r="R24" s="158">
        <f t="shared" si="12"/>
        <v>0</v>
      </c>
      <c r="S24" s="158">
        <f t="shared" si="9"/>
        <v>0</v>
      </c>
      <c r="T24" s="159"/>
      <c r="U24" s="191"/>
      <c r="V24" s="156">
        <v>-1.8440000000000001</v>
      </c>
      <c r="W24" s="158">
        <f t="shared" si="11"/>
        <v>1.8440000000000001</v>
      </c>
      <c r="X24" s="159"/>
      <c r="Z24" s="109"/>
      <c r="AA24" s="140"/>
    </row>
    <row r="25" spans="1:27" s="152" customFormat="1" ht="58.5" x14ac:dyDescent="0.25">
      <c r="A25" s="150">
        <f>A24+1</f>
        <v>7</v>
      </c>
      <c r="B25" s="64" t="s">
        <v>46</v>
      </c>
      <c r="C25" s="151" t="s">
        <v>17</v>
      </c>
      <c r="D25" s="156">
        <v>450</v>
      </c>
      <c r="E25" s="156">
        <v>450</v>
      </c>
      <c r="F25" s="156">
        <f t="shared" si="17"/>
        <v>247.23099999999999</v>
      </c>
      <c r="G25" s="156">
        <v>10</v>
      </c>
      <c r="H25" s="156">
        <v>63.488</v>
      </c>
      <c r="I25" s="156">
        <v>19.899000000000001</v>
      </c>
      <c r="J25" s="156">
        <v>46.183</v>
      </c>
      <c r="K25" s="156">
        <v>83.956999999999994</v>
      </c>
      <c r="L25" s="156">
        <v>0</v>
      </c>
      <c r="M25" s="156">
        <v>23.704000000000001</v>
      </c>
      <c r="N25" s="159">
        <f t="shared" ref="N25:N42" si="25">F25/E25*100</f>
        <v>54.940222222222225</v>
      </c>
      <c r="O25" s="157">
        <v>238</v>
      </c>
      <c r="P25" s="158">
        <f t="shared" si="7"/>
        <v>9.2309999999999945</v>
      </c>
      <c r="Q25" s="159">
        <f t="shared" si="21"/>
        <v>103.87857142857142</v>
      </c>
      <c r="R25" s="158">
        <f t="shared" si="12"/>
        <v>262.5</v>
      </c>
      <c r="S25" s="158">
        <f t="shared" si="9"/>
        <v>-15.269000000000005</v>
      </c>
      <c r="T25" s="159">
        <f t="shared" si="10"/>
        <v>94.183238095238096</v>
      </c>
      <c r="U25" s="189"/>
      <c r="V25" s="156">
        <v>276.89399999999995</v>
      </c>
      <c r="W25" s="158">
        <f t="shared" si="11"/>
        <v>-29.662999999999954</v>
      </c>
      <c r="X25" s="159">
        <f>F25/V25*100</f>
        <v>89.287236270919564</v>
      </c>
      <c r="Y25" s="59">
        <f>100-X25</f>
        <v>10.712763729080436</v>
      </c>
    </row>
    <row r="26" spans="1:27" s="152" customFormat="1" ht="39" x14ac:dyDescent="0.25">
      <c r="A26" s="150">
        <f t="shared" ref="A26:A33" si="26">A25+1</f>
        <v>8</v>
      </c>
      <c r="B26" s="64" t="s">
        <v>74</v>
      </c>
      <c r="C26" s="151" t="s">
        <v>73</v>
      </c>
      <c r="D26" s="156">
        <v>12000</v>
      </c>
      <c r="E26" s="156">
        <v>12000</v>
      </c>
      <c r="F26" s="156">
        <f t="shared" si="17"/>
        <v>9100.8950000000023</v>
      </c>
      <c r="G26" s="156">
        <v>432.791</v>
      </c>
      <c r="H26" s="156">
        <v>1371.3440000000001</v>
      </c>
      <c r="I26" s="156">
        <v>1459.3430000000001</v>
      </c>
      <c r="J26" s="156">
        <v>1608.9</v>
      </c>
      <c r="K26" s="156">
        <v>1657.4580000000001</v>
      </c>
      <c r="L26" s="156">
        <v>1243.4580000000001</v>
      </c>
      <c r="M26" s="156">
        <v>1327.6010000000001</v>
      </c>
      <c r="N26" s="159">
        <f t="shared" si="25"/>
        <v>75.840791666666689</v>
      </c>
      <c r="O26" s="157">
        <v>8900</v>
      </c>
      <c r="P26" s="158">
        <f t="shared" si="7"/>
        <v>200.89500000000226</v>
      </c>
      <c r="Q26" s="159">
        <f t="shared" si="21"/>
        <v>102.25724719101126</v>
      </c>
      <c r="R26" s="158">
        <f t="shared" si="12"/>
        <v>7000</v>
      </c>
      <c r="S26" s="158">
        <f t="shared" si="9"/>
        <v>2100.8950000000023</v>
      </c>
      <c r="T26" s="159">
        <f t="shared" si="10"/>
        <v>130.01278571428574</v>
      </c>
      <c r="U26" s="189"/>
      <c r="V26" s="156">
        <v>19269</v>
      </c>
      <c r="W26" s="158">
        <f t="shared" si="11"/>
        <v>-10168.104999999998</v>
      </c>
      <c r="X26" s="159">
        <f>F26/V26*100</f>
        <v>47.2307592506098</v>
      </c>
    </row>
    <row r="27" spans="1:27" s="152" customFormat="1" ht="23.25" x14ac:dyDescent="0.25">
      <c r="A27" s="150">
        <f t="shared" si="26"/>
        <v>9</v>
      </c>
      <c r="B27" s="64" t="s">
        <v>8</v>
      </c>
      <c r="C27" s="151" t="s">
        <v>18</v>
      </c>
      <c r="D27" s="156">
        <v>5.5</v>
      </c>
      <c r="E27" s="156">
        <f>5.5+2.5</f>
        <v>8</v>
      </c>
      <c r="F27" s="156">
        <f t="shared" si="17"/>
        <v>6.0410000000000004</v>
      </c>
      <c r="G27" s="156">
        <v>0</v>
      </c>
      <c r="H27" s="156">
        <v>0.38100000000000001</v>
      </c>
      <c r="I27" s="156">
        <v>0</v>
      </c>
      <c r="J27" s="156">
        <v>0</v>
      </c>
      <c r="K27" s="156">
        <v>5.66</v>
      </c>
      <c r="L27" s="156">
        <v>0</v>
      </c>
      <c r="M27" s="156">
        <v>0</v>
      </c>
      <c r="N27" s="159">
        <f t="shared" si="25"/>
        <v>75.512500000000003</v>
      </c>
      <c r="O27" s="157">
        <v>6</v>
      </c>
      <c r="P27" s="158">
        <f t="shared" si="7"/>
        <v>4.1000000000000369E-2</v>
      </c>
      <c r="Q27" s="159">
        <f t="shared" si="21"/>
        <v>100.68333333333335</v>
      </c>
      <c r="R27" s="158">
        <f t="shared" si="12"/>
        <v>4.6666666666666661</v>
      </c>
      <c r="S27" s="158">
        <f t="shared" si="9"/>
        <v>1.3743333333333343</v>
      </c>
      <c r="T27" s="159">
        <f t="shared" si="10"/>
        <v>129.45000000000002</v>
      </c>
      <c r="U27" s="189"/>
      <c r="V27" s="156">
        <v>5.4390000000000001</v>
      </c>
      <c r="W27" s="158">
        <f t="shared" si="11"/>
        <v>0.60200000000000031</v>
      </c>
      <c r="X27" s="159">
        <f t="shared" ref="X27:X39" si="27">F27/V27*100</f>
        <v>111.06821106821107</v>
      </c>
    </row>
    <row r="28" spans="1:27" s="152" customFormat="1" ht="78" x14ac:dyDescent="0.25">
      <c r="A28" s="150">
        <f t="shared" si="26"/>
        <v>10</v>
      </c>
      <c r="B28" s="177" t="s">
        <v>96</v>
      </c>
      <c r="C28" s="83" t="s">
        <v>97</v>
      </c>
      <c r="D28" s="156">
        <v>4.5</v>
      </c>
      <c r="E28" s="156">
        <v>4.5</v>
      </c>
      <c r="F28" s="156">
        <f t="shared" si="17"/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9">
        <f t="shared" si="25"/>
        <v>0</v>
      </c>
      <c r="O28" s="157">
        <v>0</v>
      </c>
      <c r="P28" s="158">
        <f t="shared" si="7"/>
        <v>0</v>
      </c>
      <c r="Q28" s="159"/>
      <c r="R28" s="158">
        <f t="shared" si="12"/>
        <v>2.625</v>
      </c>
      <c r="S28" s="158">
        <f t="shared" si="9"/>
        <v>-2.625</v>
      </c>
      <c r="T28" s="159">
        <f t="shared" si="10"/>
        <v>0</v>
      </c>
      <c r="U28" s="189"/>
      <c r="V28" s="156">
        <v>4.4080000000000004</v>
      </c>
      <c r="W28" s="158">
        <f t="shared" si="11"/>
        <v>-4.4080000000000004</v>
      </c>
      <c r="X28" s="159"/>
    </row>
    <row r="29" spans="1:27" s="152" customFormat="1" ht="36.75" customHeight="1" x14ac:dyDescent="0.25">
      <c r="A29" s="150">
        <f t="shared" si="26"/>
        <v>11</v>
      </c>
      <c r="B29" s="166" t="s">
        <v>29</v>
      </c>
      <c r="C29" s="151" t="s">
        <v>24</v>
      </c>
      <c r="D29" s="156">
        <v>8804.73</v>
      </c>
      <c r="E29" s="156">
        <v>8804.73</v>
      </c>
      <c r="F29" s="156">
        <f t="shared" si="17"/>
        <v>6677.2859999999991</v>
      </c>
      <c r="G29" s="156">
        <v>497.94799999999998</v>
      </c>
      <c r="H29" s="156">
        <v>694.71400000000006</v>
      </c>
      <c r="I29" s="156">
        <v>893.96699999999998</v>
      </c>
      <c r="J29" s="156">
        <v>1137.1980000000001</v>
      </c>
      <c r="K29" s="156">
        <v>904.77499999999998</v>
      </c>
      <c r="L29" s="156">
        <v>1296.52</v>
      </c>
      <c r="M29" s="156">
        <v>1252.164</v>
      </c>
      <c r="N29" s="159">
        <f t="shared" si="25"/>
        <v>75.837487350549068</v>
      </c>
      <c r="O29" s="157">
        <v>6595.72</v>
      </c>
      <c r="P29" s="158">
        <f t="shared" si="7"/>
        <v>81.565999999998894</v>
      </c>
      <c r="Q29" s="159">
        <f t="shared" ref="Q29:Q39" si="28">F29/O29*100</f>
        <v>101.23665043391775</v>
      </c>
      <c r="R29" s="158">
        <f t="shared" si="12"/>
        <v>5136.0924999999997</v>
      </c>
      <c r="S29" s="158">
        <f t="shared" si="9"/>
        <v>1541.1934999999994</v>
      </c>
      <c r="T29" s="159">
        <f t="shared" si="10"/>
        <v>130.00712117236984</v>
      </c>
      <c r="U29" s="189"/>
      <c r="V29" s="156">
        <v>2130.4030000000002</v>
      </c>
      <c r="W29" s="158">
        <f t="shared" si="11"/>
        <v>4546.8829999999989</v>
      </c>
      <c r="X29" s="159">
        <f t="shared" si="27"/>
        <v>313.42830441001064</v>
      </c>
      <c r="Y29" s="59">
        <f>100-X29</f>
        <v>-213.42830441001064</v>
      </c>
    </row>
    <row r="30" spans="1:27" s="152" customFormat="1" ht="58.5" x14ac:dyDescent="0.25">
      <c r="A30" s="150">
        <f t="shared" si="26"/>
        <v>12</v>
      </c>
      <c r="B30" s="166" t="s">
        <v>85</v>
      </c>
      <c r="C30" s="151" t="s">
        <v>84</v>
      </c>
      <c r="D30" s="156">
        <v>410</v>
      </c>
      <c r="E30" s="156">
        <v>410</v>
      </c>
      <c r="F30" s="156">
        <f t="shared" si="17"/>
        <v>289.32</v>
      </c>
      <c r="G30" s="156">
        <v>14.6</v>
      </c>
      <c r="H30" s="156">
        <v>13.6</v>
      </c>
      <c r="I30" s="156">
        <v>25.3</v>
      </c>
      <c r="J30" s="156">
        <v>43.42</v>
      </c>
      <c r="K30" s="156">
        <v>27.8</v>
      </c>
      <c r="L30" s="156">
        <v>70.8</v>
      </c>
      <c r="M30" s="156">
        <v>93.8</v>
      </c>
      <c r="N30" s="159">
        <f t="shared" si="25"/>
        <v>70.565853658536582</v>
      </c>
      <c r="O30" s="157">
        <v>260.5</v>
      </c>
      <c r="P30" s="158">
        <f t="shared" si="7"/>
        <v>28.819999999999993</v>
      </c>
      <c r="Q30" s="159">
        <f t="shared" si="28"/>
        <v>111.06333973128599</v>
      </c>
      <c r="R30" s="158">
        <f t="shared" si="12"/>
        <v>239.16666666666666</v>
      </c>
      <c r="S30" s="158">
        <f t="shared" si="9"/>
        <v>50.153333333333336</v>
      </c>
      <c r="T30" s="159">
        <f t="shared" si="10"/>
        <v>120.97003484320558</v>
      </c>
      <c r="U30" s="189"/>
      <c r="V30" s="156">
        <v>188.255</v>
      </c>
      <c r="W30" s="158">
        <f t="shared" si="11"/>
        <v>101.065</v>
      </c>
      <c r="X30" s="159">
        <f t="shared" si="27"/>
        <v>153.68516108469893</v>
      </c>
    </row>
    <row r="31" spans="1:27" s="152" customFormat="1" ht="32.25" customHeight="1" x14ac:dyDescent="0.25">
      <c r="A31" s="150">
        <f t="shared" si="26"/>
        <v>13</v>
      </c>
      <c r="B31" s="166" t="s">
        <v>118</v>
      </c>
      <c r="C31" s="151" t="s">
        <v>119</v>
      </c>
      <c r="D31" s="156">
        <v>15000</v>
      </c>
      <c r="E31" s="156">
        <v>15000</v>
      </c>
      <c r="F31" s="156">
        <f t="shared" si="17"/>
        <v>10049.432999999999</v>
      </c>
      <c r="G31" s="156">
        <v>1342.5129999999999</v>
      </c>
      <c r="H31" s="156">
        <v>1648.6120000000001</v>
      </c>
      <c r="I31" s="156">
        <v>1521.1489999999999</v>
      </c>
      <c r="J31" s="156">
        <v>1266.5989999999999</v>
      </c>
      <c r="K31" s="156">
        <v>1452.096</v>
      </c>
      <c r="L31" s="156">
        <v>1385.58</v>
      </c>
      <c r="M31" s="156">
        <v>1432.884</v>
      </c>
      <c r="N31" s="159">
        <f t="shared" si="25"/>
        <v>66.996219999999994</v>
      </c>
      <c r="O31" s="157">
        <v>9807</v>
      </c>
      <c r="P31" s="158">
        <f t="shared" si="7"/>
        <v>242.43299999999908</v>
      </c>
      <c r="Q31" s="159">
        <f t="shared" si="28"/>
        <v>102.4720403793209</v>
      </c>
      <c r="R31" s="158">
        <f t="shared" si="12"/>
        <v>8750</v>
      </c>
      <c r="S31" s="158">
        <f t="shared" si="9"/>
        <v>1299.4329999999991</v>
      </c>
      <c r="T31" s="159">
        <f t="shared" si="10"/>
        <v>114.85066285714285</v>
      </c>
      <c r="U31" s="189"/>
      <c r="V31" s="156">
        <v>7947.6589999999997</v>
      </c>
      <c r="W31" s="158">
        <f t="shared" si="11"/>
        <v>2101.7739999999994</v>
      </c>
      <c r="X31" s="159">
        <f t="shared" si="27"/>
        <v>126.44519600048265</v>
      </c>
    </row>
    <row r="32" spans="1:27" s="152" customFormat="1" ht="78" x14ac:dyDescent="0.25">
      <c r="A32" s="150">
        <f t="shared" si="26"/>
        <v>14</v>
      </c>
      <c r="B32" s="166" t="s">
        <v>176</v>
      </c>
      <c r="C32" s="151" t="s">
        <v>175</v>
      </c>
      <c r="D32" s="156">
        <v>0</v>
      </c>
      <c r="E32" s="156">
        <v>10</v>
      </c>
      <c r="F32" s="156">
        <f t="shared" si="17"/>
        <v>15.399999999999999</v>
      </c>
      <c r="G32" s="156">
        <v>0</v>
      </c>
      <c r="H32" s="156">
        <v>0</v>
      </c>
      <c r="I32" s="156">
        <v>3.3180000000000001</v>
      </c>
      <c r="J32" s="156">
        <v>1.0720000000000001</v>
      </c>
      <c r="K32" s="156">
        <v>2.61</v>
      </c>
      <c r="L32" s="156">
        <v>1.2</v>
      </c>
      <c r="M32" s="156">
        <v>7.2</v>
      </c>
      <c r="N32" s="159">
        <f t="shared" si="25"/>
        <v>153.99999999999997</v>
      </c>
      <c r="O32" s="157">
        <v>10</v>
      </c>
      <c r="P32" s="158">
        <f t="shared" si="7"/>
        <v>5.3999999999999986</v>
      </c>
      <c r="Q32" s="159">
        <f t="shared" si="28"/>
        <v>153.99999999999997</v>
      </c>
      <c r="R32" s="158">
        <f t="shared" si="12"/>
        <v>5.8333333333333339</v>
      </c>
      <c r="S32" s="158">
        <f t="shared" si="9"/>
        <v>9.5666666666666647</v>
      </c>
      <c r="T32" s="159">
        <f t="shared" si="10"/>
        <v>263.99999999999994</v>
      </c>
      <c r="U32" s="189"/>
      <c r="V32" s="156">
        <v>0</v>
      </c>
      <c r="W32" s="158">
        <f t="shared" si="11"/>
        <v>15.399999999999999</v>
      </c>
      <c r="X32" s="159"/>
    </row>
    <row r="33" spans="1:31" s="152" customFormat="1" ht="36.75" customHeight="1" x14ac:dyDescent="0.25">
      <c r="A33" s="150">
        <f t="shared" si="26"/>
        <v>15</v>
      </c>
      <c r="B33" s="166" t="s">
        <v>87</v>
      </c>
      <c r="C33" s="151" t="s">
        <v>86</v>
      </c>
      <c r="D33" s="156">
        <f>SUM(D34:D37)</f>
        <v>27762.799999999999</v>
      </c>
      <c r="E33" s="156">
        <f>SUM(E34:E37)</f>
        <v>27762.799999999999</v>
      </c>
      <c r="F33" s="156">
        <f t="shared" si="17"/>
        <v>18792.403999999999</v>
      </c>
      <c r="G33" s="156">
        <f t="shared" ref="G33:O33" si="29">SUM(G34:G37)</f>
        <v>2016.3869999999997</v>
      </c>
      <c r="H33" s="156">
        <f t="shared" ref="H33:L33" si="30">SUM(H34:H37)</f>
        <v>2147.1390000000001</v>
      </c>
      <c r="I33" s="156">
        <f t="shared" si="30"/>
        <v>2556.277</v>
      </c>
      <c r="J33" s="156">
        <f t="shared" si="30"/>
        <v>2848.3900000000003</v>
      </c>
      <c r="K33" s="156">
        <f t="shared" si="30"/>
        <v>2767.8540000000003</v>
      </c>
      <c r="L33" s="156">
        <f t="shared" si="30"/>
        <v>3005.6840000000002</v>
      </c>
      <c r="M33" s="156">
        <f t="shared" si="29"/>
        <v>3450.6730000000002</v>
      </c>
      <c r="N33" s="159">
        <f t="shared" si="25"/>
        <v>67.689152390969213</v>
      </c>
      <c r="O33" s="157">
        <f t="shared" si="29"/>
        <v>18220.600000000002</v>
      </c>
      <c r="P33" s="158">
        <f t="shared" si="7"/>
        <v>571.80399999999645</v>
      </c>
      <c r="Q33" s="159">
        <f t="shared" si="28"/>
        <v>103.13822815933611</v>
      </c>
      <c r="R33" s="158">
        <f t="shared" si="12"/>
        <v>16194.966666666667</v>
      </c>
      <c r="S33" s="158">
        <f t="shared" si="9"/>
        <v>2597.4373333333315</v>
      </c>
      <c r="T33" s="159">
        <f t="shared" si="10"/>
        <v>116.0385469559472</v>
      </c>
      <c r="U33" s="189"/>
      <c r="V33" s="156">
        <f t="shared" ref="V33" si="31">SUM(V34:V37)</f>
        <v>14068.692999999999</v>
      </c>
      <c r="W33" s="158">
        <f t="shared" si="11"/>
        <v>4723.7109999999993</v>
      </c>
      <c r="X33" s="159">
        <f t="shared" si="27"/>
        <v>133.57604718505124</v>
      </c>
    </row>
    <row r="34" spans="1:31" s="63" customFormat="1" ht="58.5" x14ac:dyDescent="0.25">
      <c r="A34" s="60" t="s">
        <v>177</v>
      </c>
      <c r="B34" s="100" t="s">
        <v>79</v>
      </c>
      <c r="C34" s="192" t="s">
        <v>78</v>
      </c>
      <c r="D34" s="160">
        <v>1300</v>
      </c>
      <c r="E34" s="160">
        <v>1300</v>
      </c>
      <c r="F34" s="160">
        <f t="shared" si="17"/>
        <v>873.19499999999994</v>
      </c>
      <c r="G34" s="160">
        <v>91.153999999999996</v>
      </c>
      <c r="H34" s="160">
        <v>123.64400000000001</v>
      </c>
      <c r="I34" s="160">
        <v>141.91800000000001</v>
      </c>
      <c r="J34" s="160">
        <v>141.23099999999999</v>
      </c>
      <c r="K34" s="160">
        <v>108.44</v>
      </c>
      <c r="L34" s="160">
        <v>153.00200000000001</v>
      </c>
      <c r="M34" s="160">
        <v>113.806</v>
      </c>
      <c r="N34" s="161">
        <f t="shared" si="25"/>
        <v>67.168846153846147</v>
      </c>
      <c r="O34" s="98">
        <v>861</v>
      </c>
      <c r="P34" s="99">
        <f t="shared" si="7"/>
        <v>12.194999999999936</v>
      </c>
      <c r="Q34" s="161">
        <f t="shared" si="28"/>
        <v>101.41637630662019</v>
      </c>
      <c r="R34" s="158">
        <f t="shared" si="12"/>
        <v>758.33333333333326</v>
      </c>
      <c r="S34" s="99">
        <f t="shared" si="9"/>
        <v>114.86166666666668</v>
      </c>
      <c r="T34" s="161">
        <f t="shared" si="10"/>
        <v>115.14659340659341</v>
      </c>
      <c r="U34" s="190"/>
      <c r="V34" s="160">
        <v>709.60699999999997</v>
      </c>
      <c r="W34" s="99">
        <f t="shared" si="11"/>
        <v>163.58799999999997</v>
      </c>
      <c r="X34" s="161">
        <f t="shared" si="27"/>
        <v>123.05332388209247</v>
      </c>
      <c r="Y34" s="161">
        <f>X34-100</f>
        <v>23.053323882092471</v>
      </c>
      <c r="Z34" s="61"/>
    </row>
    <row r="35" spans="1:31" s="63" customFormat="1" ht="23.25" x14ac:dyDescent="0.25">
      <c r="A35" s="60" t="s">
        <v>178</v>
      </c>
      <c r="B35" s="101" t="s">
        <v>60</v>
      </c>
      <c r="C35" s="51" t="s">
        <v>61</v>
      </c>
      <c r="D35" s="160">
        <v>24922.799999999999</v>
      </c>
      <c r="E35" s="160">
        <v>24922.799999999999</v>
      </c>
      <c r="F35" s="160">
        <f t="shared" si="17"/>
        <v>17082.957000000002</v>
      </c>
      <c r="G35" s="160">
        <v>1816.0039999999999</v>
      </c>
      <c r="H35" s="160">
        <v>1889.204</v>
      </c>
      <c r="I35" s="160">
        <v>2281.4290000000001</v>
      </c>
      <c r="J35" s="160">
        <v>2605.2289999999998</v>
      </c>
      <c r="K35" s="160">
        <v>2552.5940000000001</v>
      </c>
      <c r="L35" s="160">
        <v>2747.3620000000001</v>
      </c>
      <c r="M35" s="160">
        <v>3191.1350000000002</v>
      </c>
      <c r="N35" s="161">
        <f t="shared" si="25"/>
        <v>68.543490298040354</v>
      </c>
      <c r="O35" s="98">
        <v>16534.400000000001</v>
      </c>
      <c r="P35" s="99">
        <f t="shared" si="7"/>
        <v>548.5570000000007</v>
      </c>
      <c r="Q35" s="161">
        <f t="shared" si="28"/>
        <v>103.31767103735243</v>
      </c>
      <c r="R35" s="158">
        <f t="shared" si="12"/>
        <v>14538.300000000001</v>
      </c>
      <c r="S35" s="99">
        <f t="shared" si="9"/>
        <v>2544.6570000000011</v>
      </c>
      <c r="T35" s="161">
        <f t="shared" si="10"/>
        <v>117.50312622521204</v>
      </c>
      <c r="U35" s="190"/>
      <c r="V35" s="160">
        <v>12618.659</v>
      </c>
      <c r="W35" s="99">
        <f t="shared" si="11"/>
        <v>4464.2980000000025</v>
      </c>
      <c r="X35" s="161">
        <f t="shared" si="27"/>
        <v>135.37854537475022</v>
      </c>
      <c r="Y35" s="161">
        <f>X35-100</f>
        <v>35.378545374750217</v>
      </c>
      <c r="Z35" s="62"/>
    </row>
    <row r="36" spans="1:31" s="63" customFormat="1" ht="39" x14ac:dyDescent="0.25">
      <c r="A36" s="60" t="s">
        <v>179</v>
      </c>
      <c r="B36" s="101" t="s">
        <v>83</v>
      </c>
      <c r="C36" s="51" t="s">
        <v>80</v>
      </c>
      <c r="D36" s="160">
        <v>1400</v>
      </c>
      <c r="E36" s="160">
        <v>1400</v>
      </c>
      <c r="F36" s="160">
        <f t="shared" si="17"/>
        <v>790.10200000000009</v>
      </c>
      <c r="G36" s="160">
        <v>106.899</v>
      </c>
      <c r="H36" s="160">
        <v>124.081</v>
      </c>
      <c r="I36" s="160">
        <v>126.35</v>
      </c>
      <c r="J36" s="160">
        <v>100.11</v>
      </c>
      <c r="K36" s="160">
        <v>101.36</v>
      </c>
      <c r="L36" s="160">
        <v>96.92</v>
      </c>
      <c r="M36" s="160">
        <v>134.38200000000001</v>
      </c>
      <c r="N36" s="161">
        <f t="shared" si="25"/>
        <v>56.435857142857145</v>
      </c>
      <c r="O36" s="98">
        <v>782.8</v>
      </c>
      <c r="P36" s="99">
        <f t="shared" si="7"/>
        <v>7.3020000000001346</v>
      </c>
      <c r="Q36" s="161">
        <f t="shared" si="28"/>
        <v>100.93280531425653</v>
      </c>
      <c r="R36" s="158">
        <f t="shared" si="12"/>
        <v>816.66666666666674</v>
      </c>
      <c r="S36" s="99">
        <f t="shared" si="9"/>
        <v>-26.564666666666653</v>
      </c>
      <c r="T36" s="161">
        <f t="shared" si="10"/>
        <v>96.747183673469394</v>
      </c>
      <c r="U36" s="190"/>
      <c r="V36" s="160">
        <v>659.33299999999997</v>
      </c>
      <c r="W36" s="99">
        <f t="shared" si="11"/>
        <v>130.76900000000012</v>
      </c>
      <c r="X36" s="161">
        <f t="shared" si="27"/>
        <v>119.83352873282547</v>
      </c>
    </row>
    <row r="37" spans="1:31" s="63" customFormat="1" ht="102" customHeight="1" x14ac:dyDescent="0.25">
      <c r="A37" s="60" t="s">
        <v>180</v>
      </c>
      <c r="B37" s="102" t="s">
        <v>82</v>
      </c>
      <c r="C37" s="51" t="s">
        <v>81</v>
      </c>
      <c r="D37" s="160">
        <v>140</v>
      </c>
      <c r="E37" s="160">
        <v>140</v>
      </c>
      <c r="F37" s="160">
        <f t="shared" si="17"/>
        <v>46.150000000000006</v>
      </c>
      <c r="G37" s="160">
        <v>2.33</v>
      </c>
      <c r="H37" s="160">
        <v>10.210000000000001</v>
      </c>
      <c r="I37" s="160">
        <v>6.58</v>
      </c>
      <c r="J37" s="160">
        <v>1.82</v>
      </c>
      <c r="K37" s="160">
        <v>5.46</v>
      </c>
      <c r="L37" s="160">
        <v>8.4</v>
      </c>
      <c r="M37" s="160">
        <v>11.35</v>
      </c>
      <c r="N37" s="161">
        <f t="shared" si="25"/>
        <v>32.964285714285715</v>
      </c>
      <c r="O37" s="98">
        <v>42.4</v>
      </c>
      <c r="P37" s="99">
        <f t="shared" si="7"/>
        <v>3.7500000000000071</v>
      </c>
      <c r="Q37" s="161">
        <f t="shared" si="28"/>
        <v>108.84433962264153</v>
      </c>
      <c r="R37" s="158">
        <f t="shared" si="12"/>
        <v>81.666666666666657</v>
      </c>
      <c r="S37" s="99">
        <f t="shared" si="9"/>
        <v>-35.516666666666652</v>
      </c>
      <c r="T37" s="161">
        <f t="shared" si="10"/>
        <v>56.510204081632665</v>
      </c>
      <c r="U37" s="190"/>
      <c r="V37" s="160">
        <v>81.093999999999994</v>
      </c>
      <c r="W37" s="99">
        <f t="shared" si="11"/>
        <v>-34.943999999999988</v>
      </c>
      <c r="X37" s="161">
        <f t="shared" si="27"/>
        <v>56.90926579031742</v>
      </c>
    </row>
    <row r="38" spans="1:31" s="152" customFormat="1" ht="45.75" customHeight="1" x14ac:dyDescent="0.25">
      <c r="A38" s="150">
        <v>16</v>
      </c>
      <c r="B38" s="177" t="s">
        <v>34</v>
      </c>
      <c r="C38" s="151" t="s">
        <v>19</v>
      </c>
      <c r="D38" s="156">
        <v>12000</v>
      </c>
      <c r="E38" s="156">
        <v>12000</v>
      </c>
      <c r="F38" s="156">
        <f t="shared" si="17"/>
        <v>6780.0510000000004</v>
      </c>
      <c r="G38" s="156">
        <v>886.822</v>
      </c>
      <c r="H38" s="156">
        <v>956.88</v>
      </c>
      <c r="I38" s="156">
        <v>1008.902</v>
      </c>
      <c r="J38" s="156">
        <v>874.19399999999996</v>
      </c>
      <c r="K38" s="156">
        <v>1016.393</v>
      </c>
      <c r="L38" s="156">
        <v>1026.453</v>
      </c>
      <c r="M38" s="156">
        <v>1010.407</v>
      </c>
      <c r="N38" s="159">
        <f t="shared" si="25"/>
        <v>56.500425</v>
      </c>
      <c r="O38" s="157">
        <v>6772.8</v>
      </c>
      <c r="P38" s="158">
        <f t="shared" si="7"/>
        <v>7.2510000000002037</v>
      </c>
      <c r="Q38" s="159">
        <f t="shared" si="28"/>
        <v>100.10706059532247</v>
      </c>
      <c r="R38" s="158">
        <f t="shared" si="12"/>
        <v>7000</v>
      </c>
      <c r="S38" s="158">
        <f t="shared" si="9"/>
        <v>-219.94899999999961</v>
      </c>
      <c r="T38" s="159">
        <f t="shared" si="10"/>
        <v>96.857871428571428</v>
      </c>
      <c r="U38" s="189"/>
      <c r="V38" s="156">
        <v>6525.0179999999991</v>
      </c>
      <c r="W38" s="158">
        <f t="shared" si="11"/>
        <v>255.03300000000127</v>
      </c>
      <c r="X38" s="159">
        <f t="shared" si="27"/>
        <v>103.90854094195605</v>
      </c>
    </row>
    <row r="39" spans="1:31" s="152" customFormat="1" ht="34.5" customHeight="1" x14ac:dyDescent="0.25">
      <c r="A39" s="150">
        <f t="shared" ref="A39:A46" si="32">A38+1</f>
        <v>17</v>
      </c>
      <c r="B39" s="64" t="s">
        <v>54</v>
      </c>
      <c r="C39" s="151" t="s">
        <v>15</v>
      </c>
      <c r="D39" s="156">
        <v>600.5</v>
      </c>
      <c r="E39" s="156">
        <v>600.5</v>
      </c>
      <c r="F39" s="156">
        <f t="shared" si="17"/>
        <v>301.45799999999997</v>
      </c>
      <c r="G39" s="156">
        <v>33.802</v>
      </c>
      <c r="H39" s="156">
        <v>36.167000000000002</v>
      </c>
      <c r="I39" s="156">
        <v>43.429000000000002</v>
      </c>
      <c r="J39" s="156">
        <v>38.436999999999998</v>
      </c>
      <c r="K39" s="156">
        <v>36.195</v>
      </c>
      <c r="L39" s="156">
        <v>65.909000000000006</v>
      </c>
      <c r="M39" s="156">
        <v>47.518999999999998</v>
      </c>
      <c r="N39" s="159">
        <f t="shared" si="25"/>
        <v>50.201165695253948</v>
      </c>
      <c r="O39" s="157">
        <v>295.255</v>
      </c>
      <c r="P39" s="158">
        <f t="shared" si="7"/>
        <v>6.2029999999999745</v>
      </c>
      <c r="Q39" s="159">
        <f t="shared" si="28"/>
        <v>102.10089583580296</v>
      </c>
      <c r="R39" s="158">
        <f t="shared" si="12"/>
        <v>350.29166666666663</v>
      </c>
      <c r="S39" s="158">
        <f t="shared" si="9"/>
        <v>-48.833666666666659</v>
      </c>
      <c r="T39" s="159">
        <f t="shared" si="10"/>
        <v>86.059141191863915</v>
      </c>
      <c r="U39" s="189"/>
      <c r="V39" s="156">
        <v>300.64699999999999</v>
      </c>
      <c r="W39" s="158">
        <f t="shared" si="11"/>
        <v>0.81099999999997863</v>
      </c>
      <c r="X39" s="159">
        <f t="shared" si="27"/>
        <v>100.26975156911593</v>
      </c>
      <c r="Y39" s="59">
        <f>100-X39</f>
        <v>-0.26975156911592535</v>
      </c>
    </row>
    <row r="40" spans="1:31" s="152" customFormat="1" ht="97.5" x14ac:dyDescent="0.25">
      <c r="A40" s="150">
        <f t="shared" si="32"/>
        <v>18</v>
      </c>
      <c r="B40" s="64" t="s">
        <v>104</v>
      </c>
      <c r="C40" s="151" t="s">
        <v>103</v>
      </c>
      <c r="D40" s="156">
        <v>2.5499999999999998</v>
      </c>
      <c r="E40" s="156">
        <v>2.5499999999999998</v>
      </c>
      <c r="F40" s="156">
        <f t="shared" si="17"/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9">
        <f t="shared" si="25"/>
        <v>0</v>
      </c>
      <c r="O40" s="157">
        <v>0</v>
      </c>
      <c r="P40" s="158">
        <f t="shared" si="7"/>
        <v>0</v>
      </c>
      <c r="Q40" s="159"/>
      <c r="R40" s="158">
        <f t="shared" si="12"/>
        <v>1.4875</v>
      </c>
      <c r="S40" s="158">
        <f t="shared" si="9"/>
        <v>-1.4875</v>
      </c>
      <c r="T40" s="159">
        <f t="shared" ref="T40" si="33">F40/R40*100</f>
        <v>0</v>
      </c>
      <c r="U40" s="189"/>
      <c r="V40" s="156">
        <v>0</v>
      </c>
      <c r="W40" s="158">
        <f t="shared" si="11"/>
        <v>0</v>
      </c>
      <c r="X40" s="159"/>
    </row>
    <row r="41" spans="1:31" s="152" customFormat="1" ht="39" x14ac:dyDescent="0.25">
      <c r="A41" s="150">
        <f t="shared" si="32"/>
        <v>19</v>
      </c>
      <c r="B41" s="86" t="s">
        <v>62</v>
      </c>
      <c r="C41" s="25" t="s">
        <v>63</v>
      </c>
      <c r="D41" s="156">
        <v>70</v>
      </c>
      <c r="E41" s="156">
        <f>70+200</f>
        <v>270</v>
      </c>
      <c r="F41" s="156">
        <f t="shared" si="17"/>
        <v>230.22200000000001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230.22200000000001</v>
      </c>
      <c r="M41" s="156">
        <v>0</v>
      </c>
      <c r="N41" s="159">
        <f t="shared" si="25"/>
        <v>85.267407407407418</v>
      </c>
      <c r="O41" s="157">
        <v>230</v>
      </c>
      <c r="P41" s="158">
        <f t="shared" si="7"/>
        <v>0.22200000000000841</v>
      </c>
      <c r="Q41" s="159">
        <f>F41/O41*100</f>
        <v>100.09652173913044</v>
      </c>
      <c r="R41" s="158">
        <f t="shared" si="12"/>
        <v>157.5</v>
      </c>
      <c r="S41" s="158">
        <f t="shared" si="9"/>
        <v>72.722000000000008</v>
      </c>
      <c r="T41" s="159">
        <f t="shared" ref="T41:T48" si="34">F41/R41*100</f>
        <v>146.17269841269842</v>
      </c>
      <c r="U41" s="189"/>
      <c r="V41" s="156">
        <v>0</v>
      </c>
      <c r="W41" s="158">
        <f t="shared" si="11"/>
        <v>230.22200000000001</v>
      </c>
      <c r="X41" s="159"/>
    </row>
    <row r="42" spans="1:31" s="152" customFormat="1" ht="36" customHeight="1" x14ac:dyDescent="0.25">
      <c r="A42" s="150">
        <f t="shared" si="32"/>
        <v>20</v>
      </c>
      <c r="B42" s="64" t="s">
        <v>8</v>
      </c>
      <c r="C42" s="151" t="s">
        <v>20</v>
      </c>
      <c r="D42" s="156">
        <v>1400</v>
      </c>
      <c r="E42" s="156">
        <v>1400</v>
      </c>
      <c r="F42" s="156">
        <f t="shared" si="17"/>
        <v>1047.643</v>
      </c>
      <c r="G42" s="156">
        <v>161.375</v>
      </c>
      <c r="H42" s="156">
        <v>156.322</v>
      </c>
      <c r="I42" s="156">
        <v>144.40100000000001</v>
      </c>
      <c r="J42" s="156">
        <v>126.51600000000001</v>
      </c>
      <c r="K42" s="156">
        <v>134.447</v>
      </c>
      <c r="L42" s="156">
        <v>125.53100000000001</v>
      </c>
      <c r="M42" s="156">
        <v>199.05099999999999</v>
      </c>
      <c r="N42" s="159">
        <f t="shared" si="25"/>
        <v>74.831642857142853</v>
      </c>
      <c r="O42" s="157">
        <v>1039</v>
      </c>
      <c r="P42" s="158">
        <f t="shared" ref="P42:P64" si="35">F42-O42</f>
        <v>8.6430000000000291</v>
      </c>
      <c r="Q42" s="159">
        <f>F42/O42*100</f>
        <v>100.83185755534167</v>
      </c>
      <c r="R42" s="158">
        <f t="shared" si="12"/>
        <v>816.66666666666674</v>
      </c>
      <c r="S42" s="158">
        <f t="shared" ref="S42:S64" si="36">F42-R42</f>
        <v>230.97633333333329</v>
      </c>
      <c r="T42" s="159">
        <f t="shared" si="34"/>
        <v>128.28281632653059</v>
      </c>
      <c r="U42" s="189"/>
      <c r="V42" s="156">
        <v>41429.292999999998</v>
      </c>
      <c r="W42" s="158">
        <f t="shared" ref="W42:W64" si="37">F42-V42</f>
        <v>-40381.649999999994</v>
      </c>
      <c r="X42" s="159">
        <f>F42/V42*100</f>
        <v>2.5287494044370975</v>
      </c>
      <c r="AB42" s="152">
        <v>246438.04</v>
      </c>
    </row>
    <row r="43" spans="1:31" s="152" customFormat="1" ht="57.75" customHeight="1" x14ac:dyDescent="0.25">
      <c r="A43" s="150">
        <f t="shared" si="32"/>
        <v>21</v>
      </c>
      <c r="B43" s="64" t="s">
        <v>173</v>
      </c>
      <c r="C43" s="151" t="s">
        <v>172</v>
      </c>
      <c r="D43" s="156">
        <v>0</v>
      </c>
      <c r="E43" s="156">
        <v>0</v>
      </c>
      <c r="F43" s="156">
        <f t="shared" si="17"/>
        <v>0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9"/>
      <c r="O43" s="157">
        <v>0</v>
      </c>
      <c r="P43" s="158">
        <f t="shared" si="35"/>
        <v>0</v>
      </c>
      <c r="Q43" s="159"/>
      <c r="R43" s="158">
        <f t="shared" si="12"/>
        <v>0</v>
      </c>
      <c r="S43" s="158">
        <f t="shared" si="36"/>
        <v>0</v>
      </c>
      <c r="T43" s="159"/>
      <c r="U43" s="189"/>
      <c r="V43" s="156">
        <v>87.876999999999995</v>
      </c>
      <c r="W43" s="158">
        <f t="shared" si="37"/>
        <v>-87.876999999999995</v>
      </c>
      <c r="X43" s="159"/>
    </row>
    <row r="44" spans="1:31" s="152" customFormat="1" ht="142.5" customHeight="1" x14ac:dyDescent="0.25">
      <c r="A44" s="150">
        <f t="shared" si="32"/>
        <v>22</v>
      </c>
      <c r="B44" s="64" t="s">
        <v>53</v>
      </c>
      <c r="C44" s="151" t="s">
        <v>47</v>
      </c>
      <c r="D44" s="156">
        <v>1000</v>
      </c>
      <c r="E44" s="156">
        <v>1000</v>
      </c>
      <c r="F44" s="156">
        <f t="shared" si="17"/>
        <v>796.60899999999992</v>
      </c>
      <c r="G44" s="156">
        <v>2.294</v>
      </c>
      <c r="H44" s="156">
        <v>266.43799999999999</v>
      </c>
      <c r="I44" s="156">
        <v>61.570999999999998</v>
      </c>
      <c r="J44" s="156">
        <v>32.951000000000001</v>
      </c>
      <c r="K44" s="156">
        <v>52.198</v>
      </c>
      <c r="L44" s="156">
        <v>378.97300000000001</v>
      </c>
      <c r="M44" s="156">
        <v>2.1840000000000002</v>
      </c>
      <c r="N44" s="159">
        <f>F44/E44*100</f>
        <v>79.660899999999984</v>
      </c>
      <c r="O44" s="157">
        <v>796.3</v>
      </c>
      <c r="P44" s="158">
        <f t="shared" si="35"/>
        <v>0.30899999999996908</v>
      </c>
      <c r="Q44" s="159">
        <f>F44/O44*100</f>
        <v>100.03880447067688</v>
      </c>
      <c r="R44" s="158">
        <f t="shared" si="12"/>
        <v>583.33333333333326</v>
      </c>
      <c r="S44" s="158">
        <f t="shared" si="36"/>
        <v>213.27566666666667</v>
      </c>
      <c r="T44" s="159">
        <f t="shared" si="34"/>
        <v>136.56154285714285</v>
      </c>
      <c r="U44" s="189"/>
      <c r="V44" s="156">
        <v>883.41700000000003</v>
      </c>
      <c r="W44" s="158">
        <f t="shared" si="37"/>
        <v>-86.808000000000106</v>
      </c>
      <c r="X44" s="159">
        <f>F44/V44*100</f>
        <v>90.173609971281948</v>
      </c>
      <c r="AA44" s="152">
        <v>308493.50900000002</v>
      </c>
    </row>
    <row r="45" spans="1:31" s="152" customFormat="1" ht="86.25" customHeight="1" x14ac:dyDescent="0.25">
      <c r="A45" s="150">
        <f t="shared" si="32"/>
        <v>23</v>
      </c>
      <c r="B45" s="64" t="s">
        <v>134</v>
      </c>
      <c r="C45" s="151" t="s">
        <v>133</v>
      </c>
      <c r="D45" s="156">
        <v>15</v>
      </c>
      <c r="E45" s="156">
        <v>15</v>
      </c>
      <c r="F45" s="156">
        <f t="shared" si="17"/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9">
        <f>F45/E45*100</f>
        <v>0</v>
      </c>
      <c r="O45" s="157">
        <v>0</v>
      </c>
      <c r="P45" s="158">
        <f t="shared" si="35"/>
        <v>0</v>
      </c>
      <c r="Q45" s="159"/>
      <c r="R45" s="158">
        <f t="shared" si="12"/>
        <v>8.75</v>
      </c>
      <c r="S45" s="158">
        <f t="shared" si="36"/>
        <v>-8.75</v>
      </c>
      <c r="T45" s="159">
        <f t="shared" si="34"/>
        <v>0</v>
      </c>
      <c r="U45" s="189"/>
      <c r="V45" s="156">
        <v>35.991</v>
      </c>
      <c r="W45" s="158">
        <f t="shared" si="37"/>
        <v>-35.991</v>
      </c>
      <c r="X45" s="159">
        <f>F45/V45*100</f>
        <v>0</v>
      </c>
      <c r="Z45" s="58">
        <f>F47-F42</f>
        <v>2055264.7920000004</v>
      </c>
      <c r="AA45" s="58">
        <f>V47-V42</f>
        <v>1723481.9629999998</v>
      </c>
      <c r="AB45" s="59">
        <f>Z45/AA45</f>
        <v>1.1925072824217311</v>
      </c>
    </row>
    <row r="46" spans="1:31" s="152" customFormat="1" ht="39" x14ac:dyDescent="0.25">
      <c r="A46" s="150">
        <f t="shared" si="32"/>
        <v>24</v>
      </c>
      <c r="B46" s="64" t="s">
        <v>89</v>
      </c>
      <c r="C46" s="151" t="s">
        <v>88</v>
      </c>
      <c r="D46" s="156">
        <v>4.4000000000000004</v>
      </c>
      <c r="E46" s="156">
        <v>4.4000000000000004</v>
      </c>
      <c r="F46" s="156">
        <f t="shared" si="17"/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9">
        <f>F46/E46*100</f>
        <v>0</v>
      </c>
      <c r="O46" s="157">
        <v>0</v>
      </c>
      <c r="P46" s="158">
        <f t="shared" si="35"/>
        <v>0</v>
      </c>
      <c r="Q46" s="159"/>
      <c r="R46" s="158">
        <f t="shared" si="12"/>
        <v>2.5666666666666669</v>
      </c>
      <c r="S46" s="158">
        <f t="shared" si="36"/>
        <v>-2.5666666666666669</v>
      </c>
      <c r="T46" s="159">
        <f t="shared" si="34"/>
        <v>0</v>
      </c>
      <c r="U46" s="189"/>
      <c r="V46" s="156">
        <v>0</v>
      </c>
      <c r="W46" s="158">
        <f t="shared" si="37"/>
        <v>0</v>
      </c>
      <c r="X46" s="159"/>
    </row>
    <row r="47" spans="1:31" s="69" customFormat="1" ht="32.25" customHeight="1" x14ac:dyDescent="0.3">
      <c r="A47" s="65"/>
      <c r="B47" s="66" t="s">
        <v>168</v>
      </c>
      <c r="C47" s="153"/>
      <c r="D47" s="153">
        <f>D7+D8+D9+D14+D18+D25+D26+D27+D28+D29+D30+D31+D33+D38+D39+D40+D41+D42+D44+D46+D45</f>
        <v>3751621.3889999995</v>
      </c>
      <c r="E47" s="153">
        <f>E7+E8+E9+E14+E18+E25+E26+E27+E28+E29+E30+E31+E33+E38+E39+E40+E41+E42+E44+E46+E45+E32</f>
        <v>3751621.3889999995</v>
      </c>
      <c r="F47" s="153">
        <f t="shared" si="17"/>
        <v>2056312.4350000003</v>
      </c>
      <c r="G47" s="153">
        <f>G7+G8+G9+G14+G18+G25+G26+G27+G28+G29+G30+G31+G33+G38+G39+G40+G41+G42+G44+G46+G45+G32</f>
        <v>237295.24299999996</v>
      </c>
      <c r="H47" s="153">
        <f t="shared" ref="H47:M47" si="38">H7+H8+H9+H14+H18+H25+H26+H27+H28+H29+H30+H31+H33+H38+H39+H40+H41+H42+H44+H46+H45+H32</f>
        <v>305315.033</v>
      </c>
      <c r="I47" s="153">
        <f t="shared" ref="I47:L47" si="39">I7+I8+I9+I14+I18+I25+I26+I27+I28+I29+I30+I31+I33+I38+I39+I40+I41+I42+I44+I46+I45+I32</f>
        <v>276790.2</v>
      </c>
      <c r="J47" s="153">
        <f t="shared" si="39"/>
        <v>310545.73499999999</v>
      </c>
      <c r="K47" s="153">
        <f t="shared" si="39"/>
        <v>308493.50899999996</v>
      </c>
      <c r="L47" s="153">
        <f t="shared" si="39"/>
        <v>294480.42599999998</v>
      </c>
      <c r="M47" s="153">
        <f t="shared" si="38"/>
        <v>323392.28900000005</v>
      </c>
      <c r="N47" s="68">
        <f>F47/E47*100</f>
        <v>54.811299483184619</v>
      </c>
      <c r="O47" s="153">
        <f>O7+O8+O9+O14+O18+O25+O26+O27+O28+O29+O30+O31+O33+O38+O39+O40+O41+O42+O44+O46+O45+O32</f>
        <v>1946786.442</v>
      </c>
      <c r="P47" s="67">
        <f t="shared" si="35"/>
        <v>109525.99300000025</v>
      </c>
      <c r="Q47" s="68">
        <f>F47/O47*100</f>
        <v>105.62598909860294</v>
      </c>
      <c r="R47" s="153">
        <f>R7+R8+R9+R14+R18+R25+R26+R27+R28+R29+R30+R31+R33+R38+R39+R40+R41+R42+R44+R46+R45+R32+R43</f>
        <v>2188445.8102499996</v>
      </c>
      <c r="S47" s="67">
        <f t="shared" si="36"/>
        <v>-132133.37524999934</v>
      </c>
      <c r="T47" s="68">
        <f t="shared" si="34"/>
        <v>93.962227685459339</v>
      </c>
      <c r="U47" s="195"/>
      <c r="V47" s="153">
        <f>V7+V8+V9+V14+V18+V25+V26+V27+V28+V29+V30+V31+V33+V38+V39+V40+V41+V42+V44+V46+V45+V24+V43</f>
        <v>1764911.2559999998</v>
      </c>
      <c r="W47" s="67">
        <f t="shared" si="37"/>
        <v>291401.17900000047</v>
      </c>
      <c r="X47" s="68">
        <f t="shared" ref="X47:X53" si="40">F47/V47*100</f>
        <v>116.51081197478636</v>
      </c>
      <c r="Y47" s="70">
        <v>1764911.2560000001</v>
      </c>
      <c r="Z47" s="70">
        <f>Y47-V47</f>
        <v>0</v>
      </c>
      <c r="AC47" s="70" t="e">
        <f>#REF!-#REF!-#REF!</f>
        <v>#REF!</v>
      </c>
      <c r="AE47" s="69">
        <v>294547.38299999997</v>
      </c>
    </row>
    <row r="48" spans="1:31" s="8" customFormat="1" ht="39" x14ac:dyDescent="0.25">
      <c r="A48" s="180">
        <v>1</v>
      </c>
      <c r="B48" s="148" t="s">
        <v>135</v>
      </c>
      <c r="C48" s="141" t="s">
        <v>55</v>
      </c>
      <c r="D48" s="162">
        <v>717803.4</v>
      </c>
      <c r="E48" s="162">
        <v>717803.4</v>
      </c>
      <c r="F48" s="156">
        <f t="shared" si="17"/>
        <v>440116.80000000005</v>
      </c>
      <c r="G48" s="156">
        <v>44804.3</v>
      </c>
      <c r="H48" s="156">
        <v>52312.800000000003</v>
      </c>
      <c r="I48" s="156">
        <v>54480.800000000003</v>
      </c>
      <c r="J48" s="156">
        <v>55203.4</v>
      </c>
      <c r="K48" s="156">
        <v>71101.8</v>
      </c>
      <c r="L48" s="156">
        <v>137361.60000000001</v>
      </c>
      <c r="M48" s="156">
        <v>24852.1</v>
      </c>
      <c r="N48" s="159">
        <f>F48/E48*100</f>
        <v>61.31439332831247</v>
      </c>
      <c r="O48" s="156">
        <v>440116.8</v>
      </c>
      <c r="P48" s="158">
        <f t="shared" si="35"/>
        <v>0</v>
      </c>
      <c r="Q48" s="159">
        <f>F48/O48*100</f>
        <v>100.00000000000003</v>
      </c>
      <c r="R48" s="156">
        <f>O48</f>
        <v>440116.8</v>
      </c>
      <c r="S48" s="158">
        <f t="shared" si="36"/>
        <v>0</v>
      </c>
      <c r="T48" s="159">
        <f t="shared" si="34"/>
        <v>100.00000000000003</v>
      </c>
      <c r="U48" s="196"/>
      <c r="V48" s="156">
        <v>348565.8</v>
      </c>
      <c r="W48" s="158">
        <f t="shared" si="37"/>
        <v>91551.000000000058</v>
      </c>
      <c r="X48" s="159">
        <f t="shared" si="40"/>
        <v>126.2650552635973</v>
      </c>
      <c r="Y48" s="33"/>
      <c r="Z48" s="33"/>
      <c r="AA48" s="33"/>
      <c r="AB48" s="35"/>
    </row>
    <row r="49" spans="1:28" s="8" customFormat="1" ht="39" x14ac:dyDescent="0.25">
      <c r="A49" s="180">
        <f t="shared" ref="A49:A54" si="41">A48+1</f>
        <v>2</v>
      </c>
      <c r="B49" s="148" t="s">
        <v>136</v>
      </c>
      <c r="C49" s="141" t="s">
        <v>56</v>
      </c>
      <c r="D49" s="162">
        <v>0</v>
      </c>
      <c r="E49" s="162">
        <v>0</v>
      </c>
      <c r="F49" s="156">
        <f t="shared" si="17"/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9"/>
      <c r="O49" s="156">
        <v>0</v>
      </c>
      <c r="P49" s="158">
        <f t="shared" si="35"/>
        <v>0</v>
      </c>
      <c r="Q49" s="159"/>
      <c r="R49" s="156">
        <f t="shared" ref="R49:R64" si="42">O49</f>
        <v>0</v>
      </c>
      <c r="S49" s="158">
        <f t="shared" si="36"/>
        <v>0</v>
      </c>
      <c r="T49" s="159"/>
      <c r="U49" s="196"/>
      <c r="V49" s="156">
        <v>72658.799999999988</v>
      </c>
      <c r="W49" s="158">
        <f t="shared" si="37"/>
        <v>-72658.799999999988</v>
      </c>
      <c r="X49" s="159">
        <f t="shared" si="40"/>
        <v>0</v>
      </c>
      <c r="Y49" s="33"/>
      <c r="Z49" s="33"/>
      <c r="AA49" s="33"/>
      <c r="AB49" s="35"/>
    </row>
    <row r="50" spans="1:28" s="8" customFormat="1" ht="58.5" x14ac:dyDescent="0.25">
      <c r="A50" s="180">
        <f t="shared" si="41"/>
        <v>3</v>
      </c>
      <c r="B50" s="148" t="s">
        <v>193</v>
      </c>
      <c r="C50" s="141" t="s">
        <v>192</v>
      </c>
      <c r="D50" s="162">
        <v>0</v>
      </c>
      <c r="E50" s="162">
        <v>10000</v>
      </c>
      <c r="F50" s="156">
        <f t="shared" si="17"/>
        <v>7032</v>
      </c>
      <c r="G50" s="156">
        <v>0</v>
      </c>
      <c r="H50" s="156">
        <v>0</v>
      </c>
      <c r="I50" s="156">
        <v>0</v>
      </c>
      <c r="J50" s="156">
        <v>0</v>
      </c>
      <c r="K50" s="156">
        <v>3516</v>
      </c>
      <c r="L50" s="156">
        <v>1758</v>
      </c>
      <c r="M50" s="156">
        <v>1758</v>
      </c>
      <c r="N50" s="159">
        <f>F50/E50*100</f>
        <v>70.320000000000007</v>
      </c>
      <c r="O50" s="156">
        <v>7032</v>
      </c>
      <c r="P50" s="158">
        <f t="shared" si="35"/>
        <v>0</v>
      </c>
      <c r="Q50" s="159">
        <f>F50/O50*100</f>
        <v>100</v>
      </c>
      <c r="R50" s="156">
        <f t="shared" si="42"/>
        <v>7032</v>
      </c>
      <c r="S50" s="158">
        <f t="shared" si="36"/>
        <v>0</v>
      </c>
      <c r="T50" s="159">
        <f t="shared" ref="T50" si="43">F50/R50*100</f>
        <v>100</v>
      </c>
      <c r="U50" s="196"/>
      <c r="V50" s="156">
        <v>0</v>
      </c>
      <c r="W50" s="158">
        <f t="shared" si="37"/>
        <v>7032</v>
      </c>
      <c r="X50" s="159"/>
      <c r="Y50" s="33"/>
      <c r="Z50" s="33"/>
      <c r="AA50" s="33"/>
      <c r="AB50" s="35"/>
    </row>
    <row r="51" spans="1:28" s="8" customFormat="1" ht="78" x14ac:dyDescent="0.25">
      <c r="A51" s="180">
        <f t="shared" si="41"/>
        <v>4</v>
      </c>
      <c r="B51" s="167" t="s">
        <v>137</v>
      </c>
      <c r="C51" s="197" t="s">
        <v>120</v>
      </c>
      <c r="D51" s="162">
        <v>0</v>
      </c>
      <c r="E51" s="162">
        <v>0</v>
      </c>
      <c r="F51" s="156">
        <f t="shared" si="17"/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9"/>
      <c r="O51" s="156">
        <v>0</v>
      </c>
      <c r="P51" s="158">
        <f t="shared" si="35"/>
        <v>0</v>
      </c>
      <c r="Q51" s="159"/>
      <c r="R51" s="156">
        <f t="shared" si="42"/>
        <v>0</v>
      </c>
      <c r="S51" s="158">
        <f t="shared" si="36"/>
        <v>0</v>
      </c>
      <c r="T51" s="159"/>
      <c r="U51" s="196"/>
      <c r="V51" s="156">
        <v>12210.8</v>
      </c>
      <c r="W51" s="158">
        <f t="shared" si="37"/>
        <v>-12210.8</v>
      </c>
      <c r="X51" s="159">
        <f t="shared" si="40"/>
        <v>0</v>
      </c>
      <c r="Y51" s="33"/>
      <c r="Z51" s="33"/>
      <c r="AA51" s="33"/>
      <c r="AB51" s="35"/>
    </row>
    <row r="52" spans="1:28" s="8" customFormat="1" ht="58.5" x14ac:dyDescent="0.25">
      <c r="A52" s="180">
        <f t="shared" si="41"/>
        <v>5</v>
      </c>
      <c r="B52" s="167" t="s">
        <v>141</v>
      </c>
      <c r="C52" s="197" t="s">
        <v>129</v>
      </c>
      <c r="D52" s="162">
        <v>11474.77</v>
      </c>
      <c r="E52" s="162">
        <v>11474.77</v>
      </c>
      <c r="F52" s="156">
        <f t="shared" si="17"/>
        <v>7035.6900000000005</v>
      </c>
      <c r="G52" s="156">
        <v>716.24</v>
      </c>
      <c r="H52" s="156">
        <v>836.27099999999996</v>
      </c>
      <c r="I52" s="156">
        <v>870.92700000000002</v>
      </c>
      <c r="J52" s="156">
        <v>882.48</v>
      </c>
      <c r="K52" s="156">
        <v>1136.6300000000001</v>
      </c>
      <c r="L52" s="156">
        <v>2195.857</v>
      </c>
      <c r="M52" s="156">
        <v>397.28500000000003</v>
      </c>
      <c r="N52" s="159">
        <f>F52/E52*100</f>
        <v>61.314431574663374</v>
      </c>
      <c r="O52" s="157">
        <v>7035.69</v>
      </c>
      <c r="P52" s="158">
        <f t="shared" si="35"/>
        <v>0</v>
      </c>
      <c r="Q52" s="159">
        <f>F52/O52*100</f>
        <v>100.00000000000003</v>
      </c>
      <c r="R52" s="156">
        <f t="shared" si="42"/>
        <v>7035.69</v>
      </c>
      <c r="S52" s="158">
        <f t="shared" si="36"/>
        <v>0</v>
      </c>
      <c r="T52" s="159">
        <f>F52/R52*100</f>
        <v>100.00000000000003</v>
      </c>
      <c r="U52" s="196"/>
      <c r="V52" s="156">
        <v>4381.1039999999994</v>
      </c>
      <c r="W52" s="158">
        <f t="shared" si="37"/>
        <v>2654.5860000000011</v>
      </c>
      <c r="X52" s="159">
        <f t="shared" si="40"/>
        <v>160.59171386938092</v>
      </c>
    </row>
    <row r="53" spans="1:28" s="8" customFormat="1" ht="58.5" x14ac:dyDescent="0.25">
      <c r="A53" s="180">
        <f t="shared" si="41"/>
        <v>6</v>
      </c>
      <c r="B53" s="167" t="s">
        <v>142</v>
      </c>
      <c r="C53" s="197">
        <v>41051200</v>
      </c>
      <c r="D53" s="162">
        <v>4100.6319999999996</v>
      </c>
      <c r="E53" s="162">
        <v>4100.6319999999996</v>
      </c>
      <c r="F53" s="156">
        <f t="shared" si="17"/>
        <v>1993.2950000000001</v>
      </c>
      <c r="G53" s="156">
        <v>203.22900000000001</v>
      </c>
      <c r="H53" s="156">
        <v>203.22900000000001</v>
      </c>
      <c r="I53" s="156">
        <v>203.22900000000001</v>
      </c>
      <c r="J53" s="156">
        <v>297.09899999999999</v>
      </c>
      <c r="K53" s="156">
        <v>226.691</v>
      </c>
      <c r="L53" s="156">
        <v>633.12699999999995</v>
      </c>
      <c r="M53" s="156">
        <v>226.691</v>
      </c>
      <c r="N53" s="159">
        <f>F53/E53*100</f>
        <v>48.60945824936254</v>
      </c>
      <c r="O53" s="157">
        <v>1993.2950000000001</v>
      </c>
      <c r="P53" s="158">
        <f t="shared" si="35"/>
        <v>0</v>
      </c>
      <c r="Q53" s="159">
        <f>F53/O53*100</f>
        <v>100</v>
      </c>
      <c r="R53" s="156">
        <f t="shared" si="42"/>
        <v>1993.2950000000001</v>
      </c>
      <c r="S53" s="158">
        <f t="shared" si="36"/>
        <v>0</v>
      </c>
      <c r="T53" s="159">
        <f>F53/R53*100</f>
        <v>100</v>
      </c>
      <c r="U53" s="196"/>
      <c r="V53" s="156">
        <v>2072.8420000000001</v>
      </c>
      <c r="W53" s="158">
        <f t="shared" si="37"/>
        <v>-79.547000000000025</v>
      </c>
      <c r="X53" s="159">
        <f t="shared" si="40"/>
        <v>96.162418553850216</v>
      </c>
    </row>
    <row r="54" spans="1:28" s="8" customFormat="1" ht="78" x14ac:dyDescent="0.25">
      <c r="A54" s="180">
        <f t="shared" si="41"/>
        <v>7</v>
      </c>
      <c r="B54" s="167" t="s">
        <v>190</v>
      </c>
      <c r="C54" s="197" t="s">
        <v>191</v>
      </c>
      <c r="D54" s="162">
        <v>0</v>
      </c>
      <c r="E54" s="162">
        <v>0</v>
      </c>
      <c r="F54" s="156">
        <f t="shared" si="17"/>
        <v>0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6">
        <v>0</v>
      </c>
      <c r="M54" s="156">
        <v>0</v>
      </c>
      <c r="N54" s="159"/>
      <c r="O54" s="157">
        <v>0</v>
      </c>
      <c r="P54" s="158">
        <f t="shared" si="35"/>
        <v>0</v>
      </c>
      <c r="Q54" s="159"/>
      <c r="R54" s="156">
        <f t="shared" si="42"/>
        <v>0</v>
      </c>
      <c r="S54" s="158">
        <f t="shared" si="36"/>
        <v>0</v>
      </c>
      <c r="T54" s="159"/>
      <c r="U54" s="196"/>
      <c r="V54" s="156">
        <v>4205.1279999999997</v>
      </c>
      <c r="W54" s="158">
        <f t="shared" si="37"/>
        <v>-4205.1279999999997</v>
      </c>
      <c r="X54" s="159"/>
    </row>
    <row r="55" spans="1:28" s="8" customFormat="1" ht="58.5" x14ac:dyDescent="0.25">
      <c r="A55" s="226">
        <v>8</v>
      </c>
      <c r="B55" s="167" t="s">
        <v>138</v>
      </c>
      <c r="C55" s="227" t="s">
        <v>109</v>
      </c>
      <c r="D55" s="162">
        <f>SUM(D56:D57)</f>
        <v>0</v>
      </c>
      <c r="E55" s="162">
        <f>SUM(E56:E57)</f>
        <v>0</v>
      </c>
      <c r="F55" s="156">
        <f t="shared" si="17"/>
        <v>0</v>
      </c>
      <c r="G55" s="156">
        <f>SUM(G56:G57)</f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9"/>
      <c r="O55" s="157">
        <f>SUM(O56:O57)</f>
        <v>0</v>
      </c>
      <c r="P55" s="158">
        <f t="shared" si="35"/>
        <v>0</v>
      </c>
      <c r="Q55" s="159"/>
      <c r="R55" s="156">
        <f t="shared" si="42"/>
        <v>0</v>
      </c>
      <c r="S55" s="158">
        <f t="shared" si="36"/>
        <v>0</v>
      </c>
      <c r="T55" s="159"/>
      <c r="U55" s="196"/>
      <c r="V55" s="156">
        <v>5611.1929999999993</v>
      </c>
      <c r="W55" s="158">
        <f t="shared" si="37"/>
        <v>-5611.1929999999993</v>
      </c>
      <c r="X55" s="159"/>
    </row>
    <row r="56" spans="1:28" s="32" customFormat="1" ht="78" x14ac:dyDescent="0.25">
      <c r="A56" s="226"/>
      <c r="B56" s="168" t="s">
        <v>95</v>
      </c>
      <c r="C56" s="227"/>
      <c r="D56" s="163">
        <v>0</v>
      </c>
      <c r="E56" s="163">
        <v>0</v>
      </c>
      <c r="F56" s="160">
        <f t="shared" si="17"/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/>
      <c r="N56" s="161"/>
      <c r="O56" s="98">
        <v>0</v>
      </c>
      <c r="P56" s="99">
        <f t="shared" si="35"/>
        <v>0</v>
      </c>
      <c r="Q56" s="161"/>
      <c r="R56" s="160">
        <f t="shared" si="42"/>
        <v>0</v>
      </c>
      <c r="S56" s="99">
        <f t="shared" si="36"/>
        <v>0</v>
      </c>
      <c r="T56" s="161"/>
      <c r="U56" s="198"/>
      <c r="V56" s="160">
        <v>3462.7930000000001</v>
      </c>
      <c r="W56" s="99">
        <f t="shared" si="37"/>
        <v>-3462.7930000000001</v>
      </c>
      <c r="X56" s="161"/>
    </row>
    <row r="57" spans="1:28" s="32" customFormat="1" ht="39" x14ac:dyDescent="0.25">
      <c r="A57" s="226"/>
      <c r="B57" s="168" t="s">
        <v>105</v>
      </c>
      <c r="C57" s="227"/>
      <c r="D57" s="163">
        <v>0</v>
      </c>
      <c r="E57" s="163">
        <f t="shared" ref="E57" si="44">D57</f>
        <v>0</v>
      </c>
      <c r="F57" s="160">
        <f t="shared" si="17"/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0</v>
      </c>
      <c r="L57" s="160">
        <v>0</v>
      </c>
      <c r="M57" s="160"/>
      <c r="N57" s="161"/>
      <c r="O57" s="98">
        <v>0</v>
      </c>
      <c r="P57" s="99">
        <f t="shared" si="35"/>
        <v>0</v>
      </c>
      <c r="Q57" s="161"/>
      <c r="R57" s="160">
        <f t="shared" si="42"/>
        <v>0</v>
      </c>
      <c r="S57" s="99">
        <f t="shared" si="36"/>
        <v>0</v>
      </c>
      <c r="T57" s="161"/>
      <c r="U57" s="198"/>
      <c r="V57" s="160">
        <v>2148.4</v>
      </c>
      <c r="W57" s="99">
        <f t="shared" si="37"/>
        <v>-2148.4</v>
      </c>
      <c r="X57" s="161"/>
      <c r="AA57" s="32" t="e">
        <f>Y57/#REF!*100</f>
        <v>#REF!</v>
      </c>
    </row>
    <row r="58" spans="1:28" s="32" customFormat="1" ht="78" x14ac:dyDescent="0.25">
      <c r="A58" s="180">
        <v>9</v>
      </c>
      <c r="B58" s="167" t="s">
        <v>189</v>
      </c>
      <c r="C58" s="197">
        <v>41051700</v>
      </c>
      <c r="D58" s="162">
        <v>0</v>
      </c>
      <c r="E58" s="162">
        <v>0</v>
      </c>
      <c r="F58" s="156">
        <f t="shared" si="17"/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61"/>
      <c r="O58" s="156">
        <v>0</v>
      </c>
      <c r="P58" s="156">
        <v>0</v>
      </c>
      <c r="Q58" s="161"/>
      <c r="R58" s="156">
        <f t="shared" si="42"/>
        <v>0</v>
      </c>
      <c r="S58" s="158">
        <f t="shared" si="36"/>
        <v>0</v>
      </c>
      <c r="T58" s="161"/>
      <c r="U58" s="198"/>
      <c r="V58" s="156">
        <v>462.70299999999997</v>
      </c>
      <c r="W58" s="158">
        <f t="shared" si="37"/>
        <v>-462.70299999999997</v>
      </c>
      <c r="X58" s="161"/>
    </row>
    <row r="59" spans="1:28" s="8" customFormat="1" ht="58.5" x14ac:dyDescent="0.25">
      <c r="A59" s="180">
        <f>A58+1</f>
        <v>10</v>
      </c>
      <c r="B59" s="169" t="s">
        <v>161</v>
      </c>
      <c r="C59" s="197" t="s">
        <v>140</v>
      </c>
      <c r="D59" s="162">
        <v>7100</v>
      </c>
      <c r="E59" s="162">
        <v>15409.365</v>
      </c>
      <c r="F59" s="156">
        <f t="shared" si="17"/>
        <v>12388.05</v>
      </c>
      <c r="G59" s="156">
        <v>1183.3330000000001</v>
      </c>
      <c r="H59" s="156">
        <v>1183.3330000000001</v>
      </c>
      <c r="I59" s="156">
        <v>1183.3330000000001</v>
      </c>
      <c r="J59" s="156">
        <v>1183.3330000000001</v>
      </c>
      <c r="K59" s="156">
        <v>3056.2190000000001</v>
      </c>
      <c r="L59" s="156">
        <v>3087.8420000000001</v>
      </c>
      <c r="M59" s="156">
        <v>1510.6569999999999</v>
      </c>
      <c r="N59" s="159">
        <f t="shared" ref="N59:N66" si="45">F59/E59*100</f>
        <v>80.392994779473398</v>
      </c>
      <c r="O59" s="157">
        <v>12388.05</v>
      </c>
      <c r="P59" s="158">
        <f t="shared" si="35"/>
        <v>0</v>
      </c>
      <c r="Q59" s="159">
        <f t="shared" ref="Q59:Q64" si="46">F59/O59*100</f>
        <v>100</v>
      </c>
      <c r="R59" s="156">
        <f t="shared" si="42"/>
        <v>12388.05</v>
      </c>
      <c r="S59" s="158">
        <f t="shared" si="36"/>
        <v>0</v>
      </c>
      <c r="T59" s="159">
        <f t="shared" ref="T59:T64" si="47">F59/R59*100</f>
        <v>100</v>
      </c>
      <c r="U59" s="196"/>
      <c r="V59" s="156">
        <v>6672.5</v>
      </c>
      <c r="W59" s="158">
        <f t="shared" si="37"/>
        <v>5715.5499999999993</v>
      </c>
      <c r="X59" s="159">
        <f>F59/V59*100</f>
        <v>185.65829898838516</v>
      </c>
      <c r="Y59" s="156"/>
      <c r="Z59" s="156"/>
    </row>
    <row r="60" spans="1:28" s="8" customFormat="1" ht="23.25" x14ac:dyDescent="0.25">
      <c r="A60" s="180">
        <f>A59+1</f>
        <v>11</v>
      </c>
      <c r="B60" s="169" t="s">
        <v>139</v>
      </c>
      <c r="C60" s="197" t="s">
        <v>121</v>
      </c>
      <c r="D60" s="162">
        <f>SUM(D61:D66)</f>
        <v>3644</v>
      </c>
      <c r="E60" s="162">
        <f>SUM(E61:E66)</f>
        <v>4298.8240000000005</v>
      </c>
      <c r="F60" s="156">
        <f t="shared" si="17"/>
        <v>1532.019</v>
      </c>
      <c r="G60" s="156">
        <f t="shared" ref="G60:O60" si="48">SUM(G61:G66)</f>
        <v>0</v>
      </c>
      <c r="H60" s="156">
        <f t="shared" si="48"/>
        <v>57.276000000000003</v>
      </c>
      <c r="I60" s="156">
        <f t="shared" si="48"/>
        <v>466.01499999999999</v>
      </c>
      <c r="J60" s="156">
        <f t="shared" si="48"/>
        <v>231.05500000000001</v>
      </c>
      <c r="K60" s="156">
        <f>SUM(K61:K66)</f>
        <v>320.97299999999996</v>
      </c>
      <c r="L60" s="156">
        <f>SUM(L61:L66)</f>
        <v>297.8</v>
      </c>
      <c r="M60" s="156">
        <f>SUM(M61:M66)</f>
        <v>158.9</v>
      </c>
      <c r="N60" s="159">
        <f t="shared" si="45"/>
        <v>35.638095441916199</v>
      </c>
      <c r="O60" s="156">
        <f t="shared" si="48"/>
        <v>2589.681</v>
      </c>
      <c r="P60" s="158">
        <f t="shared" si="35"/>
        <v>-1057.662</v>
      </c>
      <c r="Q60" s="159">
        <f t="shared" si="46"/>
        <v>59.158599070696347</v>
      </c>
      <c r="R60" s="156">
        <f t="shared" si="42"/>
        <v>2589.681</v>
      </c>
      <c r="S60" s="158">
        <f t="shared" si="36"/>
        <v>-1057.662</v>
      </c>
      <c r="T60" s="159">
        <f t="shared" si="47"/>
        <v>59.158599070696347</v>
      </c>
      <c r="U60" s="196"/>
      <c r="V60" s="156">
        <f t="shared" ref="V60" si="49">SUM(V61:V63)</f>
        <v>752.27300000000002</v>
      </c>
      <c r="W60" s="158">
        <f t="shared" si="37"/>
        <v>779.74599999999998</v>
      </c>
      <c r="X60" s="159">
        <f>F60/V60*100</f>
        <v>203.65199867601257</v>
      </c>
      <c r="Y60" s="156">
        <v>5098.8379999999997</v>
      </c>
      <c r="Z60" s="156">
        <f>Y60-V60</f>
        <v>4346.5649999999996</v>
      </c>
    </row>
    <row r="61" spans="1:28" s="32" customFormat="1" ht="60.75" x14ac:dyDescent="0.25">
      <c r="A61" s="143" t="s">
        <v>194</v>
      </c>
      <c r="B61" s="168" t="s">
        <v>183</v>
      </c>
      <c r="C61" s="85"/>
      <c r="D61" s="163">
        <v>105</v>
      </c>
      <c r="E61" s="163">
        <v>105</v>
      </c>
      <c r="F61" s="160">
        <f t="shared" si="17"/>
        <v>51.597000000000001</v>
      </c>
      <c r="G61" s="160">
        <v>0</v>
      </c>
      <c r="H61" s="160">
        <v>0</v>
      </c>
      <c r="I61" s="160">
        <v>26.257000000000001</v>
      </c>
      <c r="J61" s="160">
        <v>5.5039999999999996</v>
      </c>
      <c r="K61" s="160">
        <f>12</f>
        <v>12</v>
      </c>
      <c r="L61" s="160">
        <v>7.8360000000000003</v>
      </c>
      <c r="M61" s="160">
        <v>0</v>
      </c>
      <c r="N61" s="161">
        <f t="shared" si="45"/>
        <v>49.14</v>
      </c>
      <c r="O61" s="98">
        <v>61.264000000000003</v>
      </c>
      <c r="P61" s="99">
        <f t="shared" si="35"/>
        <v>-9.6670000000000016</v>
      </c>
      <c r="Q61" s="161">
        <f t="shared" si="46"/>
        <v>84.220749542961599</v>
      </c>
      <c r="R61" s="160">
        <f t="shared" si="42"/>
        <v>61.264000000000003</v>
      </c>
      <c r="S61" s="99">
        <f t="shared" si="36"/>
        <v>-9.6670000000000016</v>
      </c>
      <c r="T61" s="161">
        <f t="shared" si="47"/>
        <v>84.220749542961599</v>
      </c>
      <c r="U61" s="198"/>
      <c r="V61" s="160">
        <v>45.588000000000001</v>
      </c>
      <c r="W61" s="99">
        <f t="shared" si="37"/>
        <v>6.0090000000000003</v>
      </c>
      <c r="X61" s="161">
        <f t="shared" ref="X61:X63" si="50">F61/V61*100</f>
        <v>113.18110028954989</v>
      </c>
    </row>
    <row r="62" spans="1:28" s="32" customFormat="1" ht="60" x14ac:dyDescent="0.25">
      <c r="A62" s="143" t="s">
        <v>195</v>
      </c>
      <c r="B62" s="168" t="s">
        <v>184</v>
      </c>
      <c r="C62" s="85"/>
      <c r="D62" s="163">
        <v>1246.7</v>
      </c>
      <c r="E62" s="163">
        <v>1246.7</v>
      </c>
      <c r="F62" s="160">
        <f t="shared" si="17"/>
        <v>520.5619999999999</v>
      </c>
      <c r="G62" s="160">
        <v>0</v>
      </c>
      <c r="H62" s="160">
        <v>57.276000000000003</v>
      </c>
      <c r="I62" s="160">
        <v>61.982999999999997</v>
      </c>
      <c r="J62" s="160">
        <v>122.77</v>
      </c>
      <c r="K62" s="160">
        <f>136.271</f>
        <v>136.27099999999999</v>
      </c>
      <c r="L62" s="160">
        <v>142.262</v>
      </c>
      <c r="M62" s="160">
        <v>0</v>
      </c>
      <c r="N62" s="161">
        <f t="shared" si="45"/>
        <v>41.755193711398078</v>
      </c>
      <c r="O62" s="98">
        <v>567.745</v>
      </c>
      <c r="P62" s="99">
        <f t="shared" si="35"/>
        <v>-47.183000000000106</v>
      </c>
      <c r="Q62" s="161">
        <f t="shared" si="46"/>
        <v>91.68940281288252</v>
      </c>
      <c r="R62" s="160">
        <f t="shared" si="42"/>
        <v>567.745</v>
      </c>
      <c r="S62" s="99">
        <f t="shared" si="36"/>
        <v>-47.183000000000106</v>
      </c>
      <c r="T62" s="161">
        <f t="shared" si="47"/>
        <v>91.68940281288252</v>
      </c>
      <c r="U62" s="198"/>
      <c r="V62" s="160">
        <v>560.58500000000004</v>
      </c>
      <c r="W62" s="99">
        <f t="shared" si="37"/>
        <v>-40.023000000000138</v>
      </c>
      <c r="X62" s="161">
        <f t="shared" si="50"/>
        <v>92.860493948286134</v>
      </c>
    </row>
    <row r="63" spans="1:28" s="32" customFormat="1" ht="99.75" x14ac:dyDescent="0.25">
      <c r="A63" s="143" t="s">
        <v>196</v>
      </c>
      <c r="B63" s="168" t="s">
        <v>185</v>
      </c>
      <c r="C63" s="85"/>
      <c r="D63" s="163">
        <v>292.3</v>
      </c>
      <c r="E63" s="163">
        <v>292.3</v>
      </c>
      <c r="F63" s="160">
        <f t="shared" si="17"/>
        <v>146.136</v>
      </c>
      <c r="G63" s="160">
        <v>0</v>
      </c>
      <c r="H63" s="160">
        <v>0</v>
      </c>
      <c r="I63" s="160">
        <v>146.136</v>
      </c>
      <c r="J63" s="160">
        <v>0</v>
      </c>
      <c r="K63" s="160">
        <v>0</v>
      </c>
      <c r="L63" s="160">
        <v>0</v>
      </c>
      <c r="M63" s="160">
        <v>0</v>
      </c>
      <c r="N63" s="161">
        <f t="shared" si="45"/>
        <v>49.995210400273685</v>
      </c>
      <c r="O63" s="98">
        <v>194.84800000000001</v>
      </c>
      <c r="P63" s="99">
        <f t="shared" si="35"/>
        <v>-48.712000000000018</v>
      </c>
      <c r="Q63" s="161">
        <f t="shared" si="46"/>
        <v>74.999999999999986</v>
      </c>
      <c r="R63" s="160">
        <f t="shared" si="42"/>
        <v>194.84800000000001</v>
      </c>
      <c r="S63" s="99">
        <f t="shared" si="36"/>
        <v>-48.712000000000018</v>
      </c>
      <c r="T63" s="161">
        <f t="shared" si="47"/>
        <v>74.999999999999986</v>
      </c>
      <c r="U63" s="198"/>
      <c r="V63" s="160">
        <v>146.1</v>
      </c>
      <c r="W63" s="99">
        <f t="shared" si="37"/>
        <v>3.6000000000001364E-2</v>
      </c>
      <c r="X63" s="161">
        <f t="shared" si="50"/>
        <v>100.02464065708419</v>
      </c>
    </row>
    <row r="64" spans="1:28" s="32" customFormat="1" ht="79.5" x14ac:dyDescent="0.25">
      <c r="A64" s="143" t="s">
        <v>197</v>
      </c>
      <c r="B64" s="168" t="s">
        <v>186</v>
      </c>
      <c r="C64" s="85"/>
      <c r="D64" s="163">
        <v>0</v>
      </c>
      <c r="E64" s="163">
        <f>334.42+147.702+147.702</f>
        <v>629.82400000000007</v>
      </c>
      <c r="F64" s="160">
        <f t="shared" si="17"/>
        <v>629.82400000000007</v>
      </c>
      <c r="G64" s="160">
        <v>0</v>
      </c>
      <c r="H64" s="160">
        <v>0</v>
      </c>
      <c r="I64" s="160">
        <v>231.63900000000001</v>
      </c>
      <c r="J64" s="160">
        <v>102.78100000000001</v>
      </c>
      <c r="K64" s="160">
        <v>147.702</v>
      </c>
      <c r="L64" s="160">
        <v>147.702</v>
      </c>
      <c r="M64" s="160">
        <v>0</v>
      </c>
      <c r="N64" s="161">
        <f t="shared" si="45"/>
        <v>100</v>
      </c>
      <c r="O64" s="98">
        <v>629.82399999999996</v>
      </c>
      <c r="P64" s="99">
        <f t="shared" si="35"/>
        <v>0</v>
      </c>
      <c r="Q64" s="161">
        <f t="shared" si="46"/>
        <v>100.00000000000003</v>
      </c>
      <c r="R64" s="160">
        <f t="shared" si="42"/>
        <v>629.82399999999996</v>
      </c>
      <c r="S64" s="99">
        <f t="shared" si="36"/>
        <v>0</v>
      </c>
      <c r="T64" s="161">
        <f t="shared" si="47"/>
        <v>100.00000000000003</v>
      </c>
      <c r="U64" s="198"/>
      <c r="V64" s="160">
        <v>0</v>
      </c>
      <c r="W64" s="99">
        <f t="shared" si="37"/>
        <v>629.82400000000007</v>
      </c>
      <c r="X64" s="161"/>
    </row>
    <row r="65" spans="1:29" s="32" customFormat="1" ht="79.5" x14ac:dyDescent="0.25">
      <c r="A65" s="143" t="s">
        <v>198</v>
      </c>
      <c r="B65" s="168" t="s">
        <v>187</v>
      </c>
      <c r="C65" s="85"/>
      <c r="D65" s="163">
        <v>2000</v>
      </c>
      <c r="E65" s="163">
        <v>2000</v>
      </c>
      <c r="F65" s="160">
        <f>SUM(G65:M65)</f>
        <v>158.9</v>
      </c>
      <c r="G65" s="160">
        <v>0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158.9</v>
      </c>
      <c r="N65" s="161">
        <f t="shared" si="45"/>
        <v>7.9450000000000003</v>
      </c>
      <c r="O65" s="98">
        <v>1111</v>
      </c>
      <c r="P65" s="99">
        <f>F65-O65</f>
        <v>-952.1</v>
      </c>
      <c r="Q65" s="161">
        <f>F65/O65*100</f>
        <v>14.302430243024302</v>
      </c>
      <c r="R65" s="160">
        <f>O65</f>
        <v>1111</v>
      </c>
      <c r="S65" s="99">
        <f>F65-R65</f>
        <v>-952.1</v>
      </c>
      <c r="T65" s="161">
        <f>F65/R65*100</f>
        <v>14.302430243024302</v>
      </c>
      <c r="U65" s="198"/>
      <c r="V65" s="160">
        <v>0</v>
      </c>
      <c r="W65" s="99">
        <f>F65-V65</f>
        <v>158.9</v>
      </c>
      <c r="X65" s="161"/>
    </row>
    <row r="66" spans="1:29" s="32" customFormat="1" ht="178.5" x14ac:dyDescent="0.25">
      <c r="A66" s="143" t="s">
        <v>199</v>
      </c>
      <c r="B66" s="168" t="s">
        <v>188</v>
      </c>
      <c r="C66" s="85"/>
      <c r="D66" s="163">
        <v>0</v>
      </c>
      <c r="E66" s="163">
        <v>25</v>
      </c>
      <c r="F66" s="160">
        <f>SUM(G66:M66)</f>
        <v>25</v>
      </c>
      <c r="G66" s="160">
        <v>0</v>
      </c>
      <c r="H66" s="160">
        <v>0</v>
      </c>
      <c r="I66" s="160">
        <v>0</v>
      </c>
      <c r="J66" s="160">
        <v>0</v>
      </c>
      <c r="K66" s="160">
        <v>25</v>
      </c>
      <c r="L66" s="160">
        <v>0</v>
      </c>
      <c r="M66" s="160">
        <v>0</v>
      </c>
      <c r="N66" s="161">
        <f t="shared" si="45"/>
        <v>100</v>
      </c>
      <c r="O66" s="98">
        <v>25</v>
      </c>
      <c r="P66" s="99">
        <f>F66-O66</f>
        <v>0</v>
      </c>
      <c r="Q66" s="161">
        <f>F66/O66*100</f>
        <v>100</v>
      </c>
      <c r="R66" s="160">
        <f>O66</f>
        <v>25</v>
      </c>
      <c r="S66" s="99">
        <f>F66-R66</f>
        <v>0</v>
      </c>
      <c r="T66" s="161">
        <f>F66/R66*100</f>
        <v>100</v>
      </c>
      <c r="U66" s="198"/>
      <c r="V66" s="160">
        <v>0</v>
      </c>
      <c r="W66" s="99">
        <f>F66-V66</f>
        <v>25</v>
      </c>
      <c r="X66" s="161"/>
    </row>
    <row r="67" spans="1:29" s="8" customFormat="1" ht="23.25" x14ac:dyDescent="0.25">
      <c r="A67" s="180"/>
      <c r="B67" s="106"/>
      <c r="C67" s="141"/>
      <c r="D67" s="162"/>
      <c r="E67" s="162"/>
      <c r="F67" s="156"/>
      <c r="G67" s="156"/>
      <c r="H67" s="156"/>
      <c r="I67" s="156"/>
      <c r="J67" s="156"/>
      <c r="K67" s="156"/>
      <c r="L67" s="156"/>
      <c r="M67" s="156"/>
      <c r="N67" s="159"/>
      <c r="O67" s="162"/>
      <c r="P67" s="158"/>
      <c r="Q67" s="159"/>
      <c r="R67" s="162"/>
      <c r="S67" s="158"/>
      <c r="T67" s="159"/>
      <c r="U67" s="196"/>
      <c r="V67" s="156"/>
      <c r="W67" s="99"/>
      <c r="X67" s="159"/>
    </row>
    <row r="68" spans="1:29" s="42" customFormat="1" ht="31.5" customHeight="1" x14ac:dyDescent="0.3">
      <c r="A68" s="39"/>
      <c r="B68" s="43" t="s">
        <v>28</v>
      </c>
      <c r="C68" s="216"/>
      <c r="D68" s="147">
        <f>D71+D70</f>
        <v>744122.80200000003</v>
      </c>
      <c r="E68" s="147">
        <f>E71+E70</f>
        <v>763086.99100000004</v>
      </c>
      <c r="F68" s="147">
        <f t="shared" si="17"/>
        <v>470097.85399999999</v>
      </c>
      <c r="G68" s="147">
        <f t="shared" ref="G68:O68" si="51">G71+G70</f>
        <v>46907.102000000006</v>
      </c>
      <c r="H68" s="147">
        <f t="shared" si="51"/>
        <v>54592.909</v>
      </c>
      <c r="I68" s="147">
        <f t="shared" si="51"/>
        <v>57204.304000000004</v>
      </c>
      <c r="J68" s="147">
        <f t="shared" si="51"/>
        <v>57797.366999999998</v>
      </c>
      <c r="K68" s="147">
        <f t="shared" ref="K68:L68" si="52">K71+K70</f>
        <v>79358.313000000009</v>
      </c>
      <c r="L68" s="147">
        <f t="shared" si="52"/>
        <v>145334.226</v>
      </c>
      <c r="M68" s="147">
        <f t="shared" si="51"/>
        <v>28903.632999999998</v>
      </c>
      <c r="N68" s="73">
        <f>F68/E68*100</f>
        <v>61.604752740438208</v>
      </c>
      <c r="O68" s="147">
        <f t="shared" si="51"/>
        <v>471155.516</v>
      </c>
      <c r="P68" s="72">
        <f>F68-O68</f>
        <v>-1057.6620000000112</v>
      </c>
      <c r="Q68" s="73">
        <f>F68/O68*100</f>
        <v>99.775517432337551</v>
      </c>
      <c r="R68" s="147">
        <f>R71+R70</f>
        <v>471155.516</v>
      </c>
      <c r="S68" s="72">
        <f>F68-R68</f>
        <v>-1057.6620000000112</v>
      </c>
      <c r="T68" s="73">
        <f>F68/R68*100</f>
        <v>99.775517432337551</v>
      </c>
      <c r="U68" s="210"/>
      <c r="V68" s="147">
        <f>V71+V70</f>
        <v>457593.14299999998</v>
      </c>
      <c r="W68" s="72">
        <f>F68-V68</f>
        <v>12504.71100000001</v>
      </c>
      <c r="X68" s="73">
        <f>F68/V68*100</f>
        <v>102.73271380729585</v>
      </c>
    </row>
    <row r="69" spans="1:29" s="11" customFormat="1" ht="23.25" hidden="1" x14ac:dyDescent="0.25">
      <c r="A69" s="10"/>
      <c r="B69" s="137" t="s">
        <v>106</v>
      </c>
      <c r="C69" s="9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73"/>
      <c r="O69" s="164"/>
      <c r="P69" s="158"/>
      <c r="Q69" s="159"/>
      <c r="R69" s="164"/>
      <c r="S69" s="72"/>
      <c r="T69" s="73"/>
      <c r="U69" s="199"/>
      <c r="V69" s="164"/>
      <c r="W69" s="72"/>
      <c r="X69" s="73"/>
    </row>
    <row r="70" spans="1:29" s="11" customFormat="1" ht="22.5" hidden="1" x14ac:dyDescent="0.25">
      <c r="A70" s="10"/>
      <c r="B70" s="212" t="s">
        <v>122</v>
      </c>
      <c r="C70" s="19"/>
      <c r="D70" s="147">
        <f>D51</f>
        <v>0</v>
      </c>
      <c r="E70" s="147">
        <f>E51</f>
        <v>0</v>
      </c>
      <c r="F70" s="147">
        <f t="shared" si="17"/>
        <v>0</v>
      </c>
      <c r="G70" s="147">
        <f t="shared" ref="G70:O70" si="53">G51</f>
        <v>0</v>
      </c>
      <c r="H70" s="147">
        <f t="shared" si="53"/>
        <v>0</v>
      </c>
      <c r="I70" s="147">
        <f t="shared" si="53"/>
        <v>0</v>
      </c>
      <c r="J70" s="147">
        <f t="shared" si="53"/>
        <v>0</v>
      </c>
      <c r="K70" s="147">
        <f t="shared" ref="K70:L70" si="54">K51</f>
        <v>0</v>
      </c>
      <c r="L70" s="147">
        <f t="shared" si="54"/>
        <v>0</v>
      </c>
      <c r="M70" s="147">
        <f t="shared" si="53"/>
        <v>0</v>
      </c>
      <c r="N70" s="73"/>
      <c r="O70" s="147">
        <f t="shared" si="53"/>
        <v>0</v>
      </c>
      <c r="P70" s="72">
        <f>F70-O70</f>
        <v>0</v>
      </c>
      <c r="Q70" s="73"/>
      <c r="R70" s="147">
        <f>R51</f>
        <v>0</v>
      </c>
      <c r="S70" s="72">
        <f>F70-R70</f>
        <v>0</v>
      </c>
      <c r="T70" s="73"/>
      <c r="U70" s="199"/>
      <c r="V70" s="147">
        <f>V51</f>
        <v>12210.8</v>
      </c>
      <c r="W70" s="72">
        <f>F70-V70</f>
        <v>-12210.8</v>
      </c>
      <c r="X70" s="73">
        <f>F70/V70*100</f>
        <v>0</v>
      </c>
    </row>
    <row r="71" spans="1:29" s="11" customFormat="1" ht="22.5" hidden="1" x14ac:dyDescent="0.25">
      <c r="A71" s="10"/>
      <c r="B71" s="212" t="s">
        <v>76</v>
      </c>
      <c r="C71" s="19"/>
      <c r="D71" s="147">
        <f>D72+D73</f>
        <v>744122.80200000003</v>
      </c>
      <c r="E71" s="147">
        <f>E72+E73</f>
        <v>763086.99100000004</v>
      </c>
      <c r="F71" s="147">
        <f t="shared" si="17"/>
        <v>470097.85399999999</v>
      </c>
      <c r="G71" s="147">
        <f t="shared" ref="G71:O71" si="55">G72+G73</f>
        <v>46907.102000000006</v>
      </c>
      <c r="H71" s="147">
        <f t="shared" si="55"/>
        <v>54592.909</v>
      </c>
      <c r="I71" s="147">
        <f t="shared" si="55"/>
        <v>57204.304000000004</v>
      </c>
      <c r="J71" s="147">
        <f t="shared" si="55"/>
        <v>57797.366999999998</v>
      </c>
      <c r="K71" s="147">
        <f t="shared" ref="K71:L71" si="56">K72+K73</f>
        <v>79358.313000000009</v>
      </c>
      <c r="L71" s="147">
        <f t="shared" si="56"/>
        <v>145334.226</v>
      </c>
      <c r="M71" s="147">
        <f t="shared" si="55"/>
        <v>28903.632999999998</v>
      </c>
      <c r="N71" s="73">
        <f>F71/E71*100</f>
        <v>61.604752740438208</v>
      </c>
      <c r="O71" s="147">
        <f t="shared" si="55"/>
        <v>471155.516</v>
      </c>
      <c r="P71" s="72">
        <f>F71-O71</f>
        <v>-1057.6620000000112</v>
      </c>
      <c r="Q71" s="73">
        <f>F71/O71*100</f>
        <v>99.775517432337551</v>
      </c>
      <c r="R71" s="147">
        <f>R72+R73</f>
        <v>471155.516</v>
      </c>
      <c r="S71" s="72">
        <f>F71-R71</f>
        <v>-1057.6620000000112</v>
      </c>
      <c r="T71" s="73">
        <f>F71/R71*100</f>
        <v>99.775517432337551</v>
      </c>
      <c r="U71" s="199"/>
      <c r="V71" s="147">
        <f t="shared" ref="V71" si="57">V72+V73</f>
        <v>445382.34299999999</v>
      </c>
      <c r="W71" s="72">
        <f>F71-V71</f>
        <v>24715.510999999999</v>
      </c>
      <c r="X71" s="73">
        <f>F71/V71*100</f>
        <v>105.54927948726518</v>
      </c>
    </row>
    <row r="72" spans="1:29" s="6" customFormat="1" ht="23.25" hidden="1" x14ac:dyDescent="0.25">
      <c r="A72" s="12"/>
      <c r="B72" s="15" t="s">
        <v>111</v>
      </c>
      <c r="C72" s="15"/>
      <c r="D72" s="163">
        <f>D48+D49</f>
        <v>717803.4</v>
      </c>
      <c r="E72" s="163">
        <f>E48+E49+E50</f>
        <v>727803.4</v>
      </c>
      <c r="F72" s="163">
        <f t="shared" si="17"/>
        <v>447148.80000000005</v>
      </c>
      <c r="G72" s="163">
        <f t="shared" ref="G72:O72" si="58">G48+G49+G50</f>
        <v>44804.3</v>
      </c>
      <c r="H72" s="163">
        <f t="shared" si="58"/>
        <v>52312.800000000003</v>
      </c>
      <c r="I72" s="163">
        <f t="shared" si="58"/>
        <v>54480.800000000003</v>
      </c>
      <c r="J72" s="163">
        <f t="shared" ref="J72:L72" si="59">J48+J49+J50</f>
        <v>55203.4</v>
      </c>
      <c r="K72" s="163">
        <f t="shared" si="59"/>
        <v>74617.8</v>
      </c>
      <c r="L72" s="163">
        <f t="shared" si="59"/>
        <v>139119.6</v>
      </c>
      <c r="M72" s="163">
        <f t="shared" si="58"/>
        <v>26610.1</v>
      </c>
      <c r="N72" s="161">
        <f>F72/E72*100</f>
        <v>61.438130132395649</v>
      </c>
      <c r="O72" s="163">
        <f t="shared" si="58"/>
        <v>447148.79999999999</v>
      </c>
      <c r="P72" s="99">
        <f>F72-O72</f>
        <v>0</v>
      </c>
      <c r="Q72" s="161">
        <f>F72/O72*100</f>
        <v>100.00000000000003</v>
      </c>
      <c r="R72" s="163">
        <f>R48+R49+R50</f>
        <v>447148.79999999999</v>
      </c>
      <c r="S72" s="99">
        <f>F72-R72</f>
        <v>0</v>
      </c>
      <c r="T72" s="161">
        <f>F72/R72*100</f>
        <v>100.00000000000003</v>
      </c>
      <c r="U72" s="200"/>
      <c r="V72" s="163">
        <f>V48+V49</f>
        <v>421224.6</v>
      </c>
      <c r="W72" s="99">
        <f>F72-V72</f>
        <v>25924.20000000007</v>
      </c>
      <c r="X72" s="161">
        <f>F72/V72*100</f>
        <v>106.15448385493156</v>
      </c>
    </row>
    <row r="73" spans="1:29" s="6" customFormat="1" ht="23.25" hidden="1" x14ac:dyDescent="0.25">
      <c r="A73" s="12"/>
      <c r="B73" s="138" t="s">
        <v>110</v>
      </c>
      <c r="C73" s="15"/>
      <c r="D73" s="163">
        <f>D52+D55+D60+D53+D59</f>
        <v>26319.402000000002</v>
      </c>
      <c r="E73" s="163">
        <f>E52+E55+E60+E53+E59</f>
        <v>35283.591</v>
      </c>
      <c r="F73" s="163">
        <f t="shared" si="17"/>
        <v>22949.054</v>
      </c>
      <c r="G73" s="163">
        <f t="shared" ref="G73:O73" si="60">G52+G55+G60+G53+G59</f>
        <v>2102.8020000000001</v>
      </c>
      <c r="H73" s="163">
        <f t="shared" si="60"/>
        <v>2280.1089999999999</v>
      </c>
      <c r="I73" s="163">
        <f t="shared" si="60"/>
        <v>2723.5039999999999</v>
      </c>
      <c r="J73" s="163">
        <f t="shared" si="60"/>
        <v>2593.9670000000001</v>
      </c>
      <c r="K73" s="163">
        <f t="shared" ref="K73:L73" si="61">K52+K55+K60+K53+K59</f>
        <v>4740.5129999999999</v>
      </c>
      <c r="L73" s="163">
        <f t="shared" si="61"/>
        <v>6214.6260000000002</v>
      </c>
      <c r="M73" s="163">
        <f t="shared" si="60"/>
        <v>2293.5329999999999</v>
      </c>
      <c r="N73" s="161">
        <f>F73/E73*100</f>
        <v>65.041718684472897</v>
      </c>
      <c r="O73" s="163">
        <f t="shared" si="60"/>
        <v>24006.716</v>
      </c>
      <c r="P73" s="99">
        <f>F73-O73</f>
        <v>-1057.6620000000003</v>
      </c>
      <c r="Q73" s="161">
        <f>F73/O73*100</f>
        <v>95.594307859517315</v>
      </c>
      <c r="R73" s="163">
        <f>R52+R55+R60+R53+R59</f>
        <v>24006.716</v>
      </c>
      <c r="S73" s="99">
        <f>F73-R73</f>
        <v>-1057.6620000000003</v>
      </c>
      <c r="T73" s="161">
        <f>F73/R73*100</f>
        <v>95.594307859517315</v>
      </c>
      <c r="U73" s="200"/>
      <c r="V73" s="163">
        <f>V52+V55+V60+V53+V59+V58+V54</f>
        <v>24157.742999999999</v>
      </c>
      <c r="W73" s="99">
        <f>F73-V73</f>
        <v>-1208.6889999999985</v>
      </c>
      <c r="X73" s="161">
        <f>F73/V73*100</f>
        <v>94.996680774358765</v>
      </c>
    </row>
    <row r="74" spans="1:29" s="6" customFormat="1" ht="23.25" x14ac:dyDescent="0.25">
      <c r="A74" s="12"/>
      <c r="B74" s="34"/>
      <c r="C74" s="15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1"/>
      <c r="O74" s="163"/>
      <c r="P74" s="99"/>
      <c r="Q74" s="161"/>
      <c r="R74" s="163"/>
      <c r="S74" s="99"/>
      <c r="T74" s="161"/>
      <c r="U74" s="200"/>
      <c r="V74" s="163"/>
      <c r="W74" s="99"/>
      <c r="X74" s="161"/>
    </row>
    <row r="75" spans="1:29" s="117" customFormat="1" ht="23.25" x14ac:dyDescent="0.3">
      <c r="A75" s="110"/>
      <c r="B75" s="111" t="s">
        <v>27</v>
      </c>
      <c r="C75" s="112"/>
      <c r="D75" s="113">
        <f>D68+D47</f>
        <v>4495744.1909999996</v>
      </c>
      <c r="E75" s="113">
        <f>E68+E47</f>
        <v>4514708.38</v>
      </c>
      <c r="F75" s="113">
        <f t="shared" si="17"/>
        <v>2526410.2889999999</v>
      </c>
      <c r="G75" s="113">
        <f t="shared" ref="G75:O75" si="62">G68+G47</f>
        <v>284202.34499999997</v>
      </c>
      <c r="H75" s="113">
        <f t="shared" si="62"/>
        <v>359907.94199999998</v>
      </c>
      <c r="I75" s="113">
        <f t="shared" si="62"/>
        <v>333994.50400000002</v>
      </c>
      <c r="J75" s="113">
        <f t="shared" si="62"/>
        <v>368343.10199999996</v>
      </c>
      <c r="K75" s="113">
        <f t="shared" ref="K75:L75" si="63">K68+K47</f>
        <v>387851.82199999999</v>
      </c>
      <c r="L75" s="113">
        <f t="shared" si="63"/>
        <v>439814.652</v>
      </c>
      <c r="M75" s="113">
        <f t="shared" si="62"/>
        <v>352295.92200000002</v>
      </c>
      <c r="N75" s="115">
        <f>F75/E75*100</f>
        <v>55.959545475670346</v>
      </c>
      <c r="O75" s="113">
        <f t="shared" si="62"/>
        <v>2417941.9580000001</v>
      </c>
      <c r="P75" s="114">
        <f>F75-O75</f>
        <v>108468.33099999977</v>
      </c>
      <c r="Q75" s="115">
        <f>F75/O75*100</f>
        <v>104.48597745041488</v>
      </c>
      <c r="R75" s="113">
        <f>R68+R47</f>
        <v>2659601.3262499995</v>
      </c>
      <c r="S75" s="114">
        <f>F75-R75</f>
        <v>-133191.03724999959</v>
      </c>
      <c r="T75" s="115">
        <f>F75/R75*100</f>
        <v>94.992067572856982</v>
      </c>
      <c r="U75" s="201"/>
      <c r="V75" s="113">
        <f>V68+V47</f>
        <v>2222504.3989999997</v>
      </c>
      <c r="W75" s="114">
        <f>F75-V75</f>
        <v>303905.89000000013</v>
      </c>
      <c r="X75" s="115">
        <f>F75/V75*100</f>
        <v>113.67402872798544</v>
      </c>
      <c r="Y75" s="113">
        <v>2222504.3990000002</v>
      </c>
      <c r="Z75" s="116">
        <f>Y75-V75</f>
        <v>0</v>
      </c>
      <c r="AC75" s="116">
        <f>2708373.649-O75</f>
        <v>290431.69100000011</v>
      </c>
    </row>
    <row r="76" spans="1:29" s="8" customFormat="1" ht="20.25" x14ac:dyDescent="0.25">
      <c r="A76" s="180"/>
      <c r="B76" s="220" t="s">
        <v>9</v>
      </c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</row>
    <row r="77" spans="1:29" s="45" customFormat="1" ht="23.25" x14ac:dyDescent="0.3">
      <c r="A77" s="180">
        <v>1</v>
      </c>
      <c r="B77" s="148" t="s">
        <v>12</v>
      </c>
      <c r="C77" s="141" t="s">
        <v>21</v>
      </c>
      <c r="D77" s="162">
        <f>D78+D79</f>
        <v>70446.198000000004</v>
      </c>
      <c r="E77" s="162">
        <f t="shared" ref="E77:E122" si="64">D77</f>
        <v>70446.198000000004</v>
      </c>
      <c r="F77" s="156">
        <f t="shared" ref="F77:F105" si="65">SUM(G77:M77)</f>
        <v>36688.999000000003</v>
      </c>
      <c r="G77" s="156">
        <f t="shared" ref="G77:O77" si="66">G78+G79</f>
        <v>3860.3049999999998</v>
      </c>
      <c r="H77" s="156">
        <f t="shared" ref="H77:L77" si="67">H78+H79</f>
        <v>8760.2950000000001</v>
      </c>
      <c r="I77" s="156">
        <f t="shared" si="67"/>
        <v>5848.7789999999995</v>
      </c>
      <c r="J77" s="156">
        <f t="shared" si="67"/>
        <v>5691.4560000000001</v>
      </c>
      <c r="K77" s="156">
        <f t="shared" si="67"/>
        <v>5209.8320000000003</v>
      </c>
      <c r="L77" s="156">
        <f t="shared" si="67"/>
        <v>4482.402</v>
      </c>
      <c r="M77" s="156">
        <f t="shared" si="66"/>
        <v>2835.93</v>
      </c>
      <c r="N77" s="159">
        <f>F77/E77*100</f>
        <v>52.080878800584806</v>
      </c>
      <c r="O77" s="157">
        <f t="shared" si="66"/>
        <v>41093.616000000002</v>
      </c>
      <c r="P77" s="158">
        <f t="shared" ref="P77:P91" si="68">F77-O77</f>
        <v>-4404.6169999999984</v>
      </c>
      <c r="Q77" s="159">
        <f>F77/O77*100</f>
        <v>89.281505428969794</v>
      </c>
      <c r="R77" s="158">
        <f t="shared" ref="R77" si="69">R78+R79</f>
        <v>41093.615500000007</v>
      </c>
      <c r="S77" s="158">
        <f t="shared" ref="S77:S91" si="70">F77-R77</f>
        <v>-4404.6165000000037</v>
      </c>
      <c r="T77" s="159">
        <f>F77/R77*100</f>
        <v>89.281506515288228</v>
      </c>
      <c r="U77" s="202"/>
      <c r="V77" s="156">
        <f t="shared" ref="V77" si="71">V78+V79</f>
        <v>38365.966999999997</v>
      </c>
      <c r="W77" s="158">
        <f t="shared" ref="W77:W91" si="72">F77-V77</f>
        <v>-1676.9679999999935</v>
      </c>
      <c r="X77" s="159">
        <f>F77/V77*100</f>
        <v>95.629021940200303</v>
      </c>
    </row>
    <row r="78" spans="1:29" s="48" customFormat="1" ht="39" x14ac:dyDescent="0.3">
      <c r="A78" s="143" t="s">
        <v>127</v>
      </c>
      <c r="B78" s="84" t="s">
        <v>123</v>
      </c>
      <c r="C78" s="15" t="s">
        <v>124</v>
      </c>
      <c r="D78" s="163">
        <v>70446.198000000004</v>
      </c>
      <c r="E78" s="163">
        <v>70446.198000000004</v>
      </c>
      <c r="F78" s="160">
        <f t="shared" si="65"/>
        <v>30246.259000000005</v>
      </c>
      <c r="G78" s="160">
        <v>3552.8009999999999</v>
      </c>
      <c r="H78" s="160">
        <v>6339.2150000000001</v>
      </c>
      <c r="I78" s="160">
        <v>5401.0349999999999</v>
      </c>
      <c r="J78" s="160">
        <v>4981.4170000000004</v>
      </c>
      <c r="K78" s="160">
        <v>4721.1689999999999</v>
      </c>
      <c r="L78" s="160">
        <v>2852.4169999999999</v>
      </c>
      <c r="M78" s="160">
        <v>2398.2049999999999</v>
      </c>
      <c r="N78" s="161">
        <f>F78/E78*100</f>
        <v>42.935261034243474</v>
      </c>
      <c r="O78" s="98">
        <v>41093.616000000002</v>
      </c>
      <c r="P78" s="99">
        <f t="shared" si="68"/>
        <v>-10847.356999999996</v>
      </c>
      <c r="Q78" s="161">
        <f>F78/O78*100</f>
        <v>73.603303734575235</v>
      </c>
      <c r="R78" s="99">
        <f>E78/12*7</f>
        <v>41093.615500000007</v>
      </c>
      <c r="S78" s="99">
        <f t="shared" si="70"/>
        <v>-10847.356500000002</v>
      </c>
      <c r="T78" s="161">
        <f>F78/R78*100</f>
        <v>73.60330463013166</v>
      </c>
      <c r="U78" s="203"/>
      <c r="V78" s="160">
        <v>26577.851999999999</v>
      </c>
      <c r="W78" s="99">
        <f t="shared" si="72"/>
        <v>3668.4070000000065</v>
      </c>
      <c r="X78" s="161">
        <f>F78/V78*100</f>
        <v>113.80249615356428</v>
      </c>
    </row>
    <row r="79" spans="1:29" s="48" customFormat="1" ht="23.25" x14ac:dyDescent="0.3">
      <c r="A79" s="143" t="s">
        <v>128</v>
      </c>
      <c r="B79" s="84" t="s">
        <v>125</v>
      </c>
      <c r="C79" s="15" t="s">
        <v>126</v>
      </c>
      <c r="D79" s="163">
        <v>0</v>
      </c>
      <c r="E79" s="163">
        <v>0</v>
      </c>
      <c r="F79" s="160">
        <f t="shared" si="65"/>
        <v>6442.7400000000007</v>
      </c>
      <c r="G79" s="160">
        <v>307.50400000000002</v>
      </c>
      <c r="H79" s="160">
        <v>2421.08</v>
      </c>
      <c r="I79" s="160">
        <v>447.74400000000003</v>
      </c>
      <c r="J79" s="160">
        <v>710.03899999999999</v>
      </c>
      <c r="K79" s="160">
        <v>488.66300000000001</v>
      </c>
      <c r="L79" s="160">
        <v>1629.9849999999999</v>
      </c>
      <c r="M79" s="160">
        <v>437.72500000000002</v>
      </c>
      <c r="N79" s="161"/>
      <c r="O79" s="98">
        <v>0</v>
      </c>
      <c r="P79" s="99">
        <f t="shared" si="68"/>
        <v>6442.7400000000007</v>
      </c>
      <c r="Q79" s="161"/>
      <c r="R79" s="99"/>
      <c r="S79" s="99">
        <f t="shared" si="70"/>
        <v>6442.7400000000007</v>
      </c>
      <c r="T79" s="161"/>
      <c r="U79" s="203"/>
      <c r="V79" s="160">
        <v>11788.115</v>
      </c>
      <c r="W79" s="99">
        <f t="shared" si="72"/>
        <v>-5345.3749999999991</v>
      </c>
      <c r="X79" s="161">
        <f>F79/V79*100</f>
        <v>54.654539763142793</v>
      </c>
    </row>
    <row r="80" spans="1:29" s="45" customFormat="1" ht="23.25" x14ac:dyDescent="0.3">
      <c r="A80" s="180">
        <v>2</v>
      </c>
      <c r="B80" s="97" t="s">
        <v>31</v>
      </c>
      <c r="C80" s="141" t="s">
        <v>30</v>
      </c>
      <c r="D80" s="162">
        <v>2267.6</v>
      </c>
      <c r="E80" s="162">
        <v>2267.6</v>
      </c>
      <c r="F80" s="156">
        <f t="shared" si="65"/>
        <v>1060.394</v>
      </c>
      <c r="G80" s="156">
        <v>68.402000000000001</v>
      </c>
      <c r="H80" s="156">
        <v>214.45699999999999</v>
      </c>
      <c r="I80" s="156">
        <v>85.447999999999993</v>
      </c>
      <c r="J80" s="156">
        <v>196.76599999999999</v>
      </c>
      <c r="K80" s="156">
        <v>289.00900000000001</v>
      </c>
      <c r="L80" s="156">
        <v>97.941000000000003</v>
      </c>
      <c r="M80" s="156">
        <v>108.371</v>
      </c>
      <c r="N80" s="159">
        <f t="shared" ref="N80:N88" si="73">F80/E80*100</f>
        <v>46.762832951137767</v>
      </c>
      <c r="O80" s="157">
        <v>967.26499999999999</v>
      </c>
      <c r="P80" s="158">
        <f t="shared" si="68"/>
        <v>93.129000000000019</v>
      </c>
      <c r="Q80" s="159">
        <f t="shared" ref="Q80:Q88" si="74">F80/O80*100</f>
        <v>109.62807503631373</v>
      </c>
      <c r="R80" s="158">
        <f t="shared" ref="R80:R83" si="75">E80/12*7</f>
        <v>1322.7666666666667</v>
      </c>
      <c r="S80" s="158">
        <f t="shared" si="70"/>
        <v>-262.37266666666665</v>
      </c>
      <c r="T80" s="159">
        <f t="shared" ref="T80:T85" si="76">F80/R80*100</f>
        <v>80.16485648766475</v>
      </c>
      <c r="U80" s="202"/>
      <c r="V80" s="156">
        <v>563.81600000000003</v>
      </c>
      <c r="W80" s="158">
        <f t="shared" si="72"/>
        <v>496.57799999999997</v>
      </c>
      <c r="X80" s="159">
        <f>F80/V80*100</f>
        <v>188.07447819856122</v>
      </c>
    </row>
    <row r="81" spans="1:25" s="45" customFormat="1" ht="39" x14ac:dyDescent="0.3">
      <c r="A81" s="180">
        <f t="shared" ref="A81:A84" si="77">A80+1</f>
        <v>3</v>
      </c>
      <c r="B81" s="97" t="s">
        <v>90</v>
      </c>
      <c r="C81" s="141">
        <v>21110000</v>
      </c>
      <c r="D81" s="162">
        <v>160</v>
      </c>
      <c r="E81" s="162">
        <v>160</v>
      </c>
      <c r="F81" s="156">
        <f t="shared" si="65"/>
        <v>79.931999999999988</v>
      </c>
      <c r="G81" s="156">
        <v>0</v>
      </c>
      <c r="H81" s="156">
        <v>0</v>
      </c>
      <c r="I81" s="156">
        <v>13.731999999999999</v>
      </c>
      <c r="J81" s="156">
        <v>0</v>
      </c>
      <c r="K81" s="156">
        <v>0</v>
      </c>
      <c r="L81" s="156">
        <v>26.204999999999998</v>
      </c>
      <c r="M81" s="156">
        <v>39.994999999999997</v>
      </c>
      <c r="N81" s="159">
        <f t="shared" si="73"/>
        <v>49.957499999999996</v>
      </c>
      <c r="O81" s="157">
        <v>79.704999999999998</v>
      </c>
      <c r="P81" s="158">
        <f t="shared" si="68"/>
        <v>0.22699999999998965</v>
      </c>
      <c r="Q81" s="159">
        <f t="shared" si="74"/>
        <v>100.28480020074022</v>
      </c>
      <c r="R81" s="158">
        <f t="shared" si="75"/>
        <v>93.333333333333343</v>
      </c>
      <c r="S81" s="158">
        <f t="shared" si="70"/>
        <v>-13.401333333333355</v>
      </c>
      <c r="T81" s="159">
        <f t="shared" si="76"/>
        <v>85.641428571428548</v>
      </c>
      <c r="U81" s="202"/>
      <c r="V81" s="156">
        <v>9.58</v>
      </c>
      <c r="W81" s="158">
        <f t="shared" si="72"/>
        <v>70.35199999999999</v>
      </c>
      <c r="X81" s="159">
        <f t="shared" ref="X81:X83" si="78">F81/V81*100</f>
        <v>834.36325678496848</v>
      </c>
    </row>
    <row r="82" spans="1:25" s="45" customFormat="1" ht="58.5" x14ac:dyDescent="0.3">
      <c r="A82" s="180">
        <f t="shared" si="77"/>
        <v>4</v>
      </c>
      <c r="B82" s="148" t="s">
        <v>26</v>
      </c>
      <c r="C82" s="141" t="s">
        <v>25</v>
      </c>
      <c r="D82" s="162">
        <v>15.7</v>
      </c>
      <c r="E82" s="162">
        <v>140.69999999999999</v>
      </c>
      <c r="F82" s="156">
        <f t="shared" si="65"/>
        <v>147.35599999999997</v>
      </c>
      <c r="G82" s="156">
        <v>36.722000000000001</v>
      </c>
      <c r="H82" s="156">
        <v>1.931</v>
      </c>
      <c r="I82" s="156">
        <v>93.322999999999993</v>
      </c>
      <c r="J82" s="156">
        <v>2.0529999999999999</v>
      </c>
      <c r="K82" s="156">
        <v>7.9269999999999996</v>
      </c>
      <c r="L82" s="156">
        <v>5.2</v>
      </c>
      <c r="M82" s="156">
        <v>0.2</v>
      </c>
      <c r="N82" s="159">
        <f t="shared" si="73"/>
        <v>104.73063255152806</v>
      </c>
      <c r="O82" s="157">
        <v>140.69999999999999</v>
      </c>
      <c r="P82" s="158">
        <f t="shared" si="68"/>
        <v>6.6559999999999775</v>
      </c>
      <c r="Q82" s="159">
        <f t="shared" si="74"/>
        <v>104.73063255152806</v>
      </c>
      <c r="R82" s="158">
        <f t="shared" si="75"/>
        <v>82.075000000000003</v>
      </c>
      <c r="S82" s="158">
        <f t="shared" si="70"/>
        <v>65.280999999999963</v>
      </c>
      <c r="T82" s="159">
        <f t="shared" si="76"/>
        <v>179.53822723119092</v>
      </c>
      <c r="U82" s="202"/>
      <c r="V82" s="156">
        <v>8.2329999999999988</v>
      </c>
      <c r="W82" s="158">
        <f t="shared" si="72"/>
        <v>139.12299999999996</v>
      </c>
      <c r="X82" s="159">
        <f t="shared" si="78"/>
        <v>1789.8214502611443</v>
      </c>
    </row>
    <row r="83" spans="1:25" s="45" customFormat="1" ht="60.75" customHeight="1" x14ac:dyDescent="0.3">
      <c r="A83" s="180">
        <f t="shared" si="77"/>
        <v>5</v>
      </c>
      <c r="B83" s="148" t="s">
        <v>69</v>
      </c>
      <c r="C83" s="141" t="s">
        <v>70</v>
      </c>
      <c r="D83" s="162">
        <v>0.4</v>
      </c>
      <c r="E83" s="162">
        <v>0.4</v>
      </c>
      <c r="F83" s="156">
        <f t="shared" si="65"/>
        <v>0.15000000000000002</v>
      </c>
      <c r="G83" s="156">
        <v>3.5000000000000003E-2</v>
      </c>
      <c r="H83" s="156">
        <v>2.5000000000000001E-2</v>
      </c>
      <c r="I83" s="156">
        <v>1.7000000000000001E-2</v>
      </c>
      <c r="J83" s="156">
        <v>1.4E-2</v>
      </c>
      <c r="K83" s="156">
        <v>2.7E-2</v>
      </c>
      <c r="L83" s="156">
        <v>1.7999999999999999E-2</v>
      </c>
      <c r="M83" s="156">
        <v>1.4E-2</v>
      </c>
      <c r="N83" s="159">
        <f t="shared" si="73"/>
        <v>37.500000000000007</v>
      </c>
      <c r="O83" s="157">
        <v>0.14899999999999999</v>
      </c>
      <c r="P83" s="158">
        <f t="shared" si="68"/>
        <v>1.0000000000000286E-3</v>
      </c>
      <c r="Q83" s="159">
        <f t="shared" si="74"/>
        <v>100.67114093959732</v>
      </c>
      <c r="R83" s="158">
        <f t="shared" si="75"/>
        <v>0.23333333333333334</v>
      </c>
      <c r="S83" s="158">
        <f t="shared" si="70"/>
        <v>-8.3333333333333315E-2</v>
      </c>
      <c r="T83" s="159">
        <f t="shared" si="76"/>
        <v>64.285714285714292</v>
      </c>
      <c r="U83" s="202"/>
      <c r="V83" s="156">
        <v>0.27</v>
      </c>
      <c r="W83" s="158">
        <f t="shared" si="72"/>
        <v>-0.12</v>
      </c>
      <c r="X83" s="159">
        <f t="shared" si="78"/>
        <v>55.555555555555557</v>
      </c>
    </row>
    <row r="84" spans="1:25" s="24" customFormat="1" ht="35.25" customHeight="1" x14ac:dyDescent="0.3">
      <c r="A84" s="10">
        <f t="shared" si="77"/>
        <v>6</v>
      </c>
      <c r="B84" s="14" t="s">
        <v>10</v>
      </c>
      <c r="C84" s="7"/>
      <c r="D84" s="147">
        <f>SUM(D85:D88)</f>
        <v>90003.199999999997</v>
      </c>
      <c r="E84" s="147">
        <f>SUM(E85:E88)</f>
        <v>98303.2</v>
      </c>
      <c r="F84" s="147">
        <f>SUM(G84:M84)</f>
        <v>47911.089</v>
      </c>
      <c r="G84" s="147">
        <f t="shared" ref="G84:O84" si="79">SUM(G85:G88)</f>
        <v>8655.4589999999989</v>
      </c>
      <c r="H84" s="147">
        <f t="shared" si="79"/>
        <v>1630.1189999999999</v>
      </c>
      <c r="I84" s="147">
        <f t="shared" si="79"/>
        <v>10702.722</v>
      </c>
      <c r="J84" s="147">
        <f t="shared" si="79"/>
        <v>5034.759</v>
      </c>
      <c r="K84" s="147">
        <f t="shared" ref="K84:L84" si="80">SUM(K85:K88)</f>
        <v>5015.4139999999998</v>
      </c>
      <c r="L84" s="147">
        <f t="shared" si="80"/>
        <v>13135.803</v>
      </c>
      <c r="M84" s="147">
        <f t="shared" si="79"/>
        <v>3736.8130000000001</v>
      </c>
      <c r="N84" s="73">
        <f t="shared" si="73"/>
        <v>48.738076685194379</v>
      </c>
      <c r="O84" s="147">
        <f t="shared" si="79"/>
        <v>43387.56</v>
      </c>
      <c r="P84" s="147">
        <f t="shared" si="68"/>
        <v>4523.5290000000023</v>
      </c>
      <c r="Q84" s="73">
        <f t="shared" si="74"/>
        <v>110.42586630822291</v>
      </c>
      <c r="R84" s="147">
        <f>SUM(R85:R88)</f>
        <v>57343.533333333326</v>
      </c>
      <c r="S84" s="72">
        <f t="shared" si="70"/>
        <v>-9432.4443333333256</v>
      </c>
      <c r="T84" s="73">
        <f t="shared" si="76"/>
        <v>83.550988603190376</v>
      </c>
      <c r="U84" s="204"/>
      <c r="V84" s="147">
        <f>SUM(V85:V89)</f>
        <v>40353.965000000004</v>
      </c>
      <c r="W84" s="72">
        <f t="shared" si="72"/>
        <v>7557.1239999999962</v>
      </c>
      <c r="X84" s="73">
        <f>F84/V84*100</f>
        <v>118.72709162532107</v>
      </c>
      <c r="Y84" s="46"/>
    </row>
    <row r="85" spans="1:25" s="48" customFormat="1" ht="39" x14ac:dyDescent="0.3">
      <c r="A85" s="12" t="s">
        <v>144</v>
      </c>
      <c r="B85" s="84" t="s">
        <v>154</v>
      </c>
      <c r="C85" s="15" t="s">
        <v>65</v>
      </c>
      <c r="D85" s="163">
        <v>3.2</v>
      </c>
      <c r="E85" s="163">
        <v>3.2</v>
      </c>
      <c r="F85" s="160">
        <f t="shared" si="65"/>
        <v>2.2000000000000002</v>
      </c>
      <c r="G85" s="160">
        <v>0</v>
      </c>
      <c r="H85" s="160">
        <v>0</v>
      </c>
      <c r="I85" s="160">
        <v>0</v>
      </c>
      <c r="J85" s="160">
        <v>0</v>
      </c>
      <c r="K85" s="160">
        <v>0</v>
      </c>
      <c r="L85" s="160">
        <v>2.2000000000000002</v>
      </c>
      <c r="M85" s="160">
        <v>0</v>
      </c>
      <c r="N85" s="161">
        <f t="shared" si="73"/>
        <v>68.75</v>
      </c>
      <c r="O85" s="98">
        <v>2.2000000000000002</v>
      </c>
      <c r="P85" s="99">
        <f t="shared" si="68"/>
        <v>0</v>
      </c>
      <c r="Q85" s="161">
        <f t="shared" si="74"/>
        <v>100</v>
      </c>
      <c r="R85" s="99">
        <f t="shared" ref="R85:R88" si="81">E85/12*7</f>
        <v>1.8666666666666667</v>
      </c>
      <c r="S85" s="99">
        <f t="shared" si="70"/>
        <v>0.33333333333333348</v>
      </c>
      <c r="T85" s="161">
        <f t="shared" si="76"/>
        <v>117.85714285714286</v>
      </c>
      <c r="U85" s="203"/>
      <c r="V85" s="160">
        <v>2.2000000000000002</v>
      </c>
      <c r="W85" s="99">
        <f t="shared" si="72"/>
        <v>0</v>
      </c>
      <c r="X85" s="161">
        <f>F85/V85*100</f>
        <v>100</v>
      </c>
    </row>
    <row r="86" spans="1:25" s="48" customFormat="1" ht="39" x14ac:dyDescent="0.3">
      <c r="A86" s="12" t="s">
        <v>145</v>
      </c>
      <c r="B86" s="84" t="s">
        <v>45</v>
      </c>
      <c r="C86" s="15" t="s">
        <v>44</v>
      </c>
      <c r="D86" s="163">
        <v>0</v>
      </c>
      <c r="E86" s="163">
        <v>8300</v>
      </c>
      <c r="F86" s="160">
        <f t="shared" si="65"/>
        <v>11743.321</v>
      </c>
      <c r="G86" s="160">
        <v>6037.933</v>
      </c>
      <c r="H86" s="160">
        <v>25.300999999999998</v>
      </c>
      <c r="I86" s="160">
        <v>2133.0540000000001</v>
      </c>
      <c r="J86" s="160">
        <v>152.38399999999999</v>
      </c>
      <c r="K86" s="160">
        <v>501.82100000000003</v>
      </c>
      <c r="L86" s="160">
        <v>1883.74</v>
      </c>
      <c r="M86" s="160">
        <v>1009.088</v>
      </c>
      <c r="N86" s="161">
        <f t="shared" si="73"/>
        <v>141.48579518072287</v>
      </c>
      <c r="O86" s="98">
        <v>8300</v>
      </c>
      <c r="P86" s="99">
        <f t="shared" si="68"/>
        <v>3443.3209999999999</v>
      </c>
      <c r="Q86" s="161">
        <f t="shared" si="74"/>
        <v>141.48579518072287</v>
      </c>
      <c r="R86" s="99">
        <f t="shared" si="81"/>
        <v>4841.6666666666661</v>
      </c>
      <c r="S86" s="99">
        <f t="shared" si="70"/>
        <v>6901.6543333333339</v>
      </c>
      <c r="T86" s="161">
        <f t="shared" ref="T86" si="82">F86/R86*100</f>
        <v>242.54707745266785</v>
      </c>
      <c r="U86" s="203"/>
      <c r="V86" s="160">
        <v>6004.45</v>
      </c>
      <c r="W86" s="99">
        <f t="shared" si="72"/>
        <v>5738.8710000000001</v>
      </c>
      <c r="X86" s="161">
        <f>F86/V86*100</f>
        <v>195.57696375188402</v>
      </c>
    </row>
    <row r="87" spans="1:25" s="48" customFormat="1" ht="39" x14ac:dyDescent="0.3">
      <c r="A87" s="12" t="s">
        <v>146</v>
      </c>
      <c r="B87" s="84" t="s">
        <v>36</v>
      </c>
      <c r="C87" s="15" t="s">
        <v>22</v>
      </c>
      <c r="D87" s="163">
        <v>20000</v>
      </c>
      <c r="E87" s="163">
        <v>20000</v>
      </c>
      <c r="F87" s="160">
        <f t="shared" si="65"/>
        <v>12184.530999999999</v>
      </c>
      <c r="G87" s="160">
        <v>0</v>
      </c>
      <c r="H87" s="160">
        <v>0</v>
      </c>
      <c r="I87" s="160">
        <v>2908.8789999999999</v>
      </c>
      <c r="J87" s="160">
        <v>1291.645</v>
      </c>
      <c r="K87" s="160">
        <v>0</v>
      </c>
      <c r="L87" s="160">
        <v>7448.0630000000001</v>
      </c>
      <c r="M87" s="160">
        <v>535.94399999999996</v>
      </c>
      <c r="N87" s="161">
        <f t="shared" si="73"/>
        <v>60.922654999999992</v>
      </c>
      <c r="O87" s="98">
        <v>12184.26</v>
      </c>
      <c r="P87" s="99">
        <f t="shared" si="68"/>
        <v>0.27099999999882129</v>
      </c>
      <c r="Q87" s="161">
        <f t="shared" si="74"/>
        <v>100.00222418103355</v>
      </c>
      <c r="R87" s="99">
        <f t="shared" si="81"/>
        <v>11666.666666666668</v>
      </c>
      <c r="S87" s="99">
        <f t="shared" si="70"/>
        <v>517.86433333333116</v>
      </c>
      <c r="T87" s="161">
        <f>F87/R87*100</f>
        <v>104.43883714285714</v>
      </c>
      <c r="U87" s="203"/>
      <c r="V87" s="160">
        <v>2730.4660000000003</v>
      </c>
      <c r="W87" s="99">
        <f t="shared" si="72"/>
        <v>9454.0649999999987</v>
      </c>
      <c r="X87" s="161">
        <f>F87/V87*100</f>
        <v>446.24364485769081</v>
      </c>
    </row>
    <row r="88" spans="1:25" s="47" customFormat="1" ht="23.25" x14ac:dyDescent="0.3">
      <c r="A88" s="12" t="s">
        <v>147</v>
      </c>
      <c r="B88" s="34" t="s">
        <v>71</v>
      </c>
      <c r="C88" s="15" t="s">
        <v>42</v>
      </c>
      <c r="D88" s="163">
        <v>70000</v>
      </c>
      <c r="E88" s="163">
        <v>70000</v>
      </c>
      <c r="F88" s="163">
        <f t="shared" si="65"/>
        <v>23981.036999999997</v>
      </c>
      <c r="G88" s="163">
        <v>2617.5259999999998</v>
      </c>
      <c r="H88" s="163">
        <v>1604.818</v>
      </c>
      <c r="I88" s="163">
        <v>5660.7889999999998</v>
      </c>
      <c r="J88" s="163">
        <v>3590.73</v>
      </c>
      <c r="K88" s="163">
        <v>4513.5929999999998</v>
      </c>
      <c r="L88" s="163">
        <v>3801.8</v>
      </c>
      <c r="M88" s="163">
        <v>2191.7809999999999</v>
      </c>
      <c r="N88" s="161">
        <f t="shared" si="73"/>
        <v>34.258624285714276</v>
      </c>
      <c r="O88" s="163">
        <v>22901.1</v>
      </c>
      <c r="P88" s="99">
        <f t="shared" si="68"/>
        <v>1079.9369999999981</v>
      </c>
      <c r="Q88" s="161">
        <f t="shared" si="74"/>
        <v>104.71565557986298</v>
      </c>
      <c r="R88" s="99">
        <f t="shared" si="81"/>
        <v>40833.333333333328</v>
      </c>
      <c r="S88" s="99">
        <f t="shared" si="70"/>
        <v>-16852.296333333332</v>
      </c>
      <c r="T88" s="161">
        <f>F88/R88*100</f>
        <v>58.729070204081637</v>
      </c>
      <c r="U88" s="205"/>
      <c r="V88" s="163">
        <v>31416.849000000002</v>
      </c>
      <c r="W88" s="99">
        <f t="shared" si="72"/>
        <v>-7435.8120000000054</v>
      </c>
      <c r="X88" s="161">
        <f>F88/V88*100</f>
        <v>76.331770254871827</v>
      </c>
    </row>
    <row r="89" spans="1:25" s="47" customFormat="1" ht="60" x14ac:dyDescent="0.3">
      <c r="A89" s="12" t="s">
        <v>205</v>
      </c>
      <c r="B89" s="34" t="s">
        <v>202</v>
      </c>
      <c r="C89" s="178" t="s">
        <v>121</v>
      </c>
      <c r="D89" s="163">
        <v>0</v>
      </c>
      <c r="E89" s="163">
        <v>0</v>
      </c>
      <c r="F89" s="163">
        <f t="shared" si="65"/>
        <v>0</v>
      </c>
      <c r="G89" s="163">
        <v>0</v>
      </c>
      <c r="H89" s="163">
        <v>0</v>
      </c>
      <c r="I89" s="163">
        <v>0</v>
      </c>
      <c r="J89" s="163">
        <v>0</v>
      </c>
      <c r="K89" s="163">
        <v>0</v>
      </c>
      <c r="L89" s="163">
        <v>0</v>
      </c>
      <c r="M89" s="163">
        <v>0</v>
      </c>
      <c r="N89" s="161"/>
      <c r="O89" s="163">
        <v>0</v>
      </c>
      <c r="P89" s="99">
        <f t="shared" si="68"/>
        <v>0</v>
      </c>
      <c r="Q89" s="161"/>
      <c r="R89" s="99">
        <f t="shared" ref="R89" si="83">E89/12*6</f>
        <v>0</v>
      </c>
      <c r="S89" s="99">
        <f t="shared" si="70"/>
        <v>0</v>
      </c>
      <c r="T89" s="161"/>
      <c r="U89" s="205"/>
      <c r="V89" s="163">
        <v>200</v>
      </c>
      <c r="W89" s="99">
        <f t="shared" ref="W89" si="84">F89-V89</f>
        <v>-200</v>
      </c>
      <c r="X89" s="161"/>
    </row>
    <row r="90" spans="1:25" s="45" customFormat="1" ht="23.25" x14ac:dyDescent="0.3">
      <c r="A90" s="180">
        <v>7</v>
      </c>
      <c r="B90" s="97" t="s">
        <v>11</v>
      </c>
      <c r="C90" s="141" t="s">
        <v>23</v>
      </c>
      <c r="D90" s="162">
        <v>6000</v>
      </c>
      <c r="E90" s="162">
        <v>6000</v>
      </c>
      <c r="F90" s="156">
        <f t="shared" si="65"/>
        <v>4609.1409999999996</v>
      </c>
      <c r="G90" s="156">
        <v>431.85300000000001</v>
      </c>
      <c r="H90" s="156">
        <v>403.06599999999997</v>
      </c>
      <c r="I90" s="156">
        <v>337.41399999999999</v>
      </c>
      <c r="J90" s="156">
        <v>348.38400000000001</v>
      </c>
      <c r="K90" s="156">
        <v>273.77199999999999</v>
      </c>
      <c r="L90" s="156">
        <v>1847.547</v>
      </c>
      <c r="M90" s="156">
        <v>967.10500000000002</v>
      </c>
      <c r="N90" s="159">
        <f>F90/E90*100</f>
        <v>76.819016666666656</v>
      </c>
      <c r="O90" s="157">
        <v>4413.8</v>
      </c>
      <c r="P90" s="158">
        <f t="shared" si="68"/>
        <v>195.34099999999944</v>
      </c>
      <c r="Q90" s="159">
        <f>F90/O90*100</f>
        <v>104.42568761611308</v>
      </c>
      <c r="R90" s="158">
        <f>E90/12*7</f>
        <v>3500</v>
      </c>
      <c r="S90" s="158">
        <f t="shared" si="70"/>
        <v>1109.1409999999996</v>
      </c>
      <c r="T90" s="159">
        <f>F90/R90*100</f>
        <v>131.68974285714285</v>
      </c>
      <c r="U90" s="202"/>
      <c r="V90" s="156">
        <v>3750.3020000000001</v>
      </c>
      <c r="W90" s="158">
        <f t="shared" si="72"/>
        <v>858.83899999999949</v>
      </c>
      <c r="X90" s="159">
        <f>F90/V90*100</f>
        <v>122.90052907739162</v>
      </c>
    </row>
    <row r="91" spans="1:25" s="38" customFormat="1" ht="37.5" customHeight="1" x14ac:dyDescent="0.3">
      <c r="A91" s="36"/>
      <c r="B91" s="66" t="s">
        <v>168</v>
      </c>
      <c r="C91" s="37"/>
      <c r="D91" s="146">
        <f>D77+D80+D82+D83+D85+D86+D87+D88+D90+D81</f>
        <v>168893.098</v>
      </c>
      <c r="E91" s="146">
        <f>E77+E80+E82+E83+E85+E86+E87+E88+E90+E81</f>
        <v>177318.098</v>
      </c>
      <c r="F91" s="146">
        <f t="shared" si="65"/>
        <v>90497.061000000002</v>
      </c>
      <c r="G91" s="146">
        <f t="shared" ref="G91:O91" si="85">G77+G80+G82+G83+G85+G86+G87+G88+G90+G81</f>
        <v>13052.776</v>
      </c>
      <c r="H91" s="146">
        <f t="shared" si="85"/>
        <v>11009.893</v>
      </c>
      <c r="I91" s="146">
        <f t="shared" si="85"/>
        <v>17081.435000000001</v>
      </c>
      <c r="J91" s="146">
        <f t="shared" si="85"/>
        <v>11273.431999999999</v>
      </c>
      <c r="K91" s="146">
        <f t="shared" ref="K91:L91" si="86">K77+K80+K82+K83+K85+K86+K87+K88+K90+K81</f>
        <v>10795.981</v>
      </c>
      <c r="L91" s="146">
        <f t="shared" si="86"/>
        <v>19595.115999999998</v>
      </c>
      <c r="M91" s="146">
        <f t="shared" si="85"/>
        <v>7688.4280000000008</v>
      </c>
      <c r="N91" s="68">
        <f>F91/E91*100</f>
        <v>51.036561987034169</v>
      </c>
      <c r="O91" s="146">
        <f t="shared" si="85"/>
        <v>90082.794999999998</v>
      </c>
      <c r="P91" s="67">
        <f t="shared" si="68"/>
        <v>414.26600000000326</v>
      </c>
      <c r="Q91" s="68">
        <f>F91/O91*100</f>
        <v>100.45987249840549</v>
      </c>
      <c r="R91" s="67">
        <f>R77+R80+R82+R83+R85+R86+R87+R88+R90+R81</f>
        <v>103435.55716666667</v>
      </c>
      <c r="S91" s="67">
        <f t="shared" si="70"/>
        <v>-12938.496166666664</v>
      </c>
      <c r="T91" s="68">
        <f>F91/R91*100</f>
        <v>87.491249120630016</v>
      </c>
      <c r="U91" s="206"/>
      <c r="V91" s="146">
        <f>V77+V80+V82+V83+V85+V86+V87+V88+V90+V81</f>
        <v>82852.132999999987</v>
      </c>
      <c r="W91" s="67">
        <f t="shared" si="72"/>
        <v>7644.9280000000144</v>
      </c>
      <c r="X91" s="68">
        <f>F91/V91*100</f>
        <v>109.22719515259796</v>
      </c>
    </row>
    <row r="92" spans="1:25" s="50" customFormat="1" ht="22.5" hidden="1" x14ac:dyDescent="0.3">
      <c r="A92" s="49"/>
      <c r="B92" s="71"/>
      <c r="C92" s="41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73"/>
      <c r="O92" s="147"/>
      <c r="P92" s="72"/>
      <c r="Q92" s="73"/>
      <c r="R92" s="72"/>
      <c r="S92" s="72"/>
      <c r="T92" s="73"/>
      <c r="U92" s="207"/>
      <c r="V92" s="147"/>
      <c r="W92" s="72"/>
      <c r="X92" s="73"/>
    </row>
    <row r="93" spans="1:25" s="50" customFormat="1" ht="67.5" hidden="1" x14ac:dyDescent="0.3">
      <c r="A93" s="49"/>
      <c r="B93" s="71" t="s">
        <v>67</v>
      </c>
      <c r="C93" s="41"/>
      <c r="D93" s="147">
        <f>D91-D77</f>
        <v>98446.9</v>
      </c>
      <c r="E93" s="147">
        <f>E91-E77</f>
        <v>106871.9</v>
      </c>
      <c r="F93" s="147">
        <f>SUM(G93:M93)</f>
        <v>53808.061999999998</v>
      </c>
      <c r="G93" s="147">
        <f t="shared" ref="G93:O93" si="87">G91-G77</f>
        <v>9192.4709999999995</v>
      </c>
      <c r="H93" s="147">
        <f t="shared" si="87"/>
        <v>2249.598</v>
      </c>
      <c r="I93" s="147">
        <f t="shared" si="87"/>
        <v>11232.656000000003</v>
      </c>
      <c r="J93" s="147">
        <f t="shared" si="87"/>
        <v>5581.9759999999987</v>
      </c>
      <c r="K93" s="147">
        <f t="shared" ref="K93:L93" si="88">K91-K77</f>
        <v>5586.1489999999994</v>
      </c>
      <c r="L93" s="147">
        <f t="shared" si="88"/>
        <v>15112.713999999998</v>
      </c>
      <c r="M93" s="147">
        <f t="shared" si="87"/>
        <v>4852.4980000000014</v>
      </c>
      <c r="N93" s="73">
        <f>F93/E93*100</f>
        <v>50.348185070163446</v>
      </c>
      <c r="O93" s="147">
        <f t="shared" si="87"/>
        <v>48989.178999999996</v>
      </c>
      <c r="P93" s="72">
        <f>F93-O93</f>
        <v>4818.8830000000016</v>
      </c>
      <c r="Q93" s="73">
        <f>F93/O93*100</f>
        <v>109.83662739071418</v>
      </c>
      <c r="R93" s="147">
        <f>R91-R77</f>
        <v>62341.941666666658</v>
      </c>
      <c r="S93" s="72">
        <f>F93-R93</f>
        <v>-8533.8796666666603</v>
      </c>
      <c r="T93" s="73">
        <f>F93/R93*100</f>
        <v>86.311174405994478</v>
      </c>
      <c r="U93" s="207"/>
      <c r="V93" s="147">
        <f>V91-V77</f>
        <v>44486.16599999999</v>
      </c>
      <c r="W93" s="72">
        <f>F93-V93</f>
        <v>9321.8960000000079</v>
      </c>
      <c r="X93" s="73">
        <f>F93/V93*100</f>
        <v>120.95459518808613</v>
      </c>
    </row>
    <row r="94" spans="1:25" s="50" customFormat="1" ht="22.5" hidden="1" x14ac:dyDescent="0.3">
      <c r="A94" s="49"/>
      <c r="B94" s="108"/>
      <c r="C94" s="41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73"/>
      <c r="O94" s="147"/>
      <c r="P94" s="72"/>
      <c r="Q94" s="73"/>
      <c r="R94" s="72"/>
      <c r="S94" s="72"/>
      <c r="T94" s="73"/>
      <c r="U94" s="207"/>
      <c r="V94" s="147"/>
      <c r="W94" s="72"/>
      <c r="X94" s="73"/>
    </row>
    <row r="95" spans="1:25" s="142" customFormat="1" ht="97.5" x14ac:dyDescent="0.25">
      <c r="A95" s="180">
        <v>1</v>
      </c>
      <c r="B95" s="148" t="s">
        <v>143</v>
      </c>
      <c r="C95" s="141" t="s">
        <v>75</v>
      </c>
      <c r="D95" s="162">
        <v>120420</v>
      </c>
      <c r="E95" s="162">
        <v>120420</v>
      </c>
      <c r="F95" s="162">
        <f t="shared" si="65"/>
        <v>3858.3</v>
      </c>
      <c r="G95" s="162">
        <v>0</v>
      </c>
      <c r="H95" s="162">
        <v>0</v>
      </c>
      <c r="I95" s="162">
        <v>1530.3</v>
      </c>
      <c r="J95" s="162">
        <v>0</v>
      </c>
      <c r="K95" s="162">
        <v>2328</v>
      </c>
      <c r="L95" s="162">
        <v>0</v>
      </c>
      <c r="M95" s="162">
        <v>0</v>
      </c>
      <c r="N95" s="144">
        <f>F95/E95*100</f>
        <v>3.2040358744394619</v>
      </c>
      <c r="O95" s="162">
        <v>120420</v>
      </c>
      <c r="P95" s="158">
        <f>F95-O95</f>
        <v>-116561.7</v>
      </c>
      <c r="Q95" s="144"/>
      <c r="R95" s="162">
        <f>O95</f>
        <v>120420</v>
      </c>
      <c r="S95" s="158">
        <f>F95-R95</f>
        <v>-116561.7</v>
      </c>
      <c r="T95" s="144">
        <f>F95/R95*100</f>
        <v>3.2040358744394619</v>
      </c>
      <c r="U95" s="208"/>
      <c r="V95" s="162">
        <v>57485.400999999998</v>
      </c>
      <c r="W95" s="158">
        <f>F95-V95</f>
        <v>-53627.100999999995</v>
      </c>
      <c r="X95" s="159">
        <f>F95/V95*100</f>
        <v>6.7117910510879106</v>
      </c>
    </row>
    <row r="96" spans="1:25" s="142" customFormat="1" ht="97.5" x14ac:dyDescent="0.25">
      <c r="A96" s="180">
        <f>A95+1</f>
        <v>2</v>
      </c>
      <c r="B96" s="148" t="s">
        <v>203</v>
      </c>
      <c r="C96" s="141" t="s">
        <v>204</v>
      </c>
      <c r="D96" s="162">
        <v>0</v>
      </c>
      <c r="E96" s="162">
        <v>50000</v>
      </c>
      <c r="F96" s="162">
        <f t="shared" si="65"/>
        <v>0</v>
      </c>
      <c r="G96" s="162">
        <v>0</v>
      </c>
      <c r="H96" s="162">
        <v>0</v>
      </c>
      <c r="I96" s="162">
        <v>0</v>
      </c>
      <c r="J96" s="162">
        <v>0</v>
      </c>
      <c r="K96" s="162">
        <v>0</v>
      </c>
      <c r="L96" s="162">
        <v>0</v>
      </c>
      <c r="M96" s="162">
        <v>0</v>
      </c>
      <c r="N96" s="144"/>
      <c r="O96" s="162">
        <v>41455.875999999997</v>
      </c>
      <c r="P96" s="158">
        <f>F96-O96</f>
        <v>-41455.875999999997</v>
      </c>
      <c r="Q96" s="144"/>
      <c r="R96" s="162">
        <f>O96</f>
        <v>41455.875999999997</v>
      </c>
      <c r="S96" s="158">
        <f>F96-R96</f>
        <v>-41455.875999999997</v>
      </c>
      <c r="T96" s="144"/>
      <c r="U96" s="208"/>
      <c r="V96" s="162">
        <v>18825.361000000001</v>
      </c>
      <c r="W96" s="158">
        <f>F96-V96</f>
        <v>-18825.361000000001</v>
      </c>
      <c r="X96" s="159"/>
    </row>
    <row r="97" spans="1:26" s="142" customFormat="1" ht="58.5" x14ac:dyDescent="0.25">
      <c r="A97" s="180">
        <f>A96+1</f>
        <v>3</v>
      </c>
      <c r="B97" s="170" t="s">
        <v>181</v>
      </c>
      <c r="C97" s="141" t="s">
        <v>121</v>
      </c>
      <c r="D97" s="162">
        <v>0</v>
      </c>
      <c r="E97" s="162">
        <v>3000</v>
      </c>
      <c r="F97" s="162">
        <f t="shared" si="65"/>
        <v>0</v>
      </c>
      <c r="G97" s="162">
        <v>0</v>
      </c>
      <c r="H97" s="162">
        <v>0</v>
      </c>
      <c r="I97" s="162">
        <v>0</v>
      </c>
      <c r="J97" s="162">
        <v>0</v>
      </c>
      <c r="K97" s="162">
        <v>0</v>
      </c>
      <c r="L97" s="162">
        <v>0</v>
      </c>
      <c r="M97" s="162">
        <v>0</v>
      </c>
      <c r="N97" s="144"/>
      <c r="O97" s="162">
        <v>3000</v>
      </c>
      <c r="P97" s="158">
        <f>F97-O97</f>
        <v>-3000</v>
      </c>
      <c r="Q97" s="144"/>
      <c r="R97" s="162">
        <f>O97</f>
        <v>3000</v>
      </c>
      <c r="S97" s="158">
        <f>F97-R97</f>
        <v>-3000</v>
      </c>
      <c r="T97" s="144"/>
      <c r="U97" s="208"/>
      <c r="V97" s="162">
        <v>0</v>
      </c>
      <c r="W97" s="158">
        <f>F97-V97</f>
        <v>0</v>
      </c>
      <c r="X97" s="159"/>
    </row>
    <row r="98" spans="1:26" s="27" customFormat="1" ht="22.5" x14ac:dyDescent="0.25">
      <c r="A98" s="26"/>
      <c r="B98" s="74"/>
      <c r="C98" s="19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73"/>
      <c r="O98" s="147"/>
      <c r="P98" s="72"/>
      <c r="Q98" s="73"/>
      <c r="R98" s="72"/>
      <c r="S98" s="72"/>
      <c r="T98" s="73"/>
      <c r="U98" s="209"/>
      <c r="V98" s="147"/>
      <c r="W98" s="72"/>
      <c r="X98" s="73"/>
    </row>
    <row r="99" spans="1:26" s="42" customFormat="1" ht="31.5" customHeight="1" x14ac:dyDescent="0.3">
      <c r="A99" s="39"/>
      <c r="B99" s="43" t="s">
        <v>28</v>
      </c>
      <c r="C99" s="41"/>
      <c r="D99" s="147">
        <f>D100+D101</f>
        <v>120420</v>
      </c>
      <c r="E99" s="147">
        <f>E100+E101</f>
        <v>173420</v>
      </c>
      <c r="F99" s="147">
        <f t="shared" si="65"/>
        <v>3858.3</v>
      </c>
      <c r="G99" s="147">
        <f t="shared" ref="G99:O99" si="89">G100+G101</f>
        <v>0</v>
      </c>
      <c r="H99" s="147">
        <f t="shared" si="89"/>
        <v>0</v>
      </c>
      <c r="I99" s="147">
        <f t="shared" si="89"/>
        <v>1530.3</v>
      </c>
      <c r="J99" s="147">
        <f t="shared" si="89"/>
        <v>0</v>
      </c>
      <c r="K99" s="147">
        <f t="shared" ref="K99:L99" si="90">K100+K101</f>
        <v>2328</v>
      </c>
      <c r="L99" s="147">
        <f t="shared" si="90"/>
        <v>0</v>
      </c>
      <c r="M99" s="147">
        <f t="shared" si="89"/>
        <v>0</v>
      </c>
      <c r="N99" s="73">
        <f>F99/E99*100</f>
        <v>2.2248298927459347</v>
      </c>
      <c r="O99" s="147">
        <f t="shared" si="89"/>
        <v>164875.87599999999</v>
      </c>
      <c r="P99" s="72">
        <f>F99-O99</f>
        <v>-161017.576</v>
      </c>
      <c r="Q99" s="73">
        <f>F99/O99*100</f>
        <v>2.340124033670032</v>
      </c>
      <c r="R99" s="147">
        <f>R100+R101</f>
        <v>120420</v>
      </c>
      <c r="S99" s="72">
        <f>F99-R99</f>
        <v>-116561.7</v>
      </c>
      <c r="T99" s="73">
        <f>F99/R99*100</f>
        <v>3.2040358744394619</v>
      </c>
      <c r="U99" s="210"/>
      <c r="V99" s="147">
        <f t="shared" ref="V99" si="91">V100+V101</f>
        <v>76510.762000000002</v>
      </c>
      <c r="W99" s="72">
        <f>F99-V99</f>
        <v>-72652.462</v>
      </c>
      <c r="X99" s="73">
        <f t="shared" ref="X99:X101" si="92">F99/V99*100</f>
        <v>5.0428199891670138</v>
      </c>
    </row>
    <row r="100" spans="1:26" s="6" customFormat="1" ht="23.25" hidden="1" x14ac:dyDescent="0.25">
      <c r="A100" s="12"/>
      <c r="B100" s="15" t="s">
        <v>111</v>
      </c>
      <c r="C100" s="15"/>
      <c r="D100" s="163">
        <f>D95</f>
        <v>120420</v>
      </c>
      <c r="E100" s="163">
        <f>E95</f>
        <v>120420</v>
      </c>
      <c r="F100" s="163">
        <f t="shared" si="65"/>
        <v>3858.3</v>
      </c>
      <c r="G100" s="163">
        <f t="shared" ref="G100:O100" si="93">G95</f>
        <v>0</v>
      </c>
      <c r="H100" s="163">
        <f t="shared" si="93"/>
        <v>0</v>
      </c>
      <c r="I100" s="163">
        <f t="shared" si="93"/>
        <v>1530.3</v>
      </c>
      <c r="J100" s="163">
        <f t="shared" si="93"/>
        <v>0</v>
      </c>
      <c r="K100" s="163">
        <f t="shared" ref="K100:L100" si="94">K95</f>
        <v>2328</v>
      </c>
      <c r="L100" s="163">
        <f t="shared" si="94"/>
        <v>0</v>
      </c>
      <c r="M100" s="163">
        <f t="shared" si="93"/>
        <v>0</v>
      </c>
      <c r="N100" s="161">
        <f>F100/E100*100</f>
        <v>3.2040358744394619</v>
      </c>
      <c r="O100" s="163">
        <f t="shared" si="93"/>
        <v>120420</v>
      </c>
      <c r="P100" s="99">
        <f>F100-O100</f>
        <v>-116561.7</v>
      </c>
      <c r="Q100" s="161"/>
      <c r="R100" s="163">
        <f>R95</f>
        <v>120420</v>
      </c>
      <c r="S100" s="99">
        <f>F100-R100</f>
        <v>-116561.7</v>
      </c>
      <c r="T100" s="161">
        <f>F100/R100*100</f>
        <v>3.2040358744394619</v>
      </c>
      <c r="U100" s="200"/>
      <c r="V100" s="163">
        <f>V95</f>
        <v>57485.400999999998</v>
      </c>
      <c r="W100" s="99">
        <f>F100-V100</f>
        <v>-53627.100999999995</v>
      </c>
      <c r="X100" s="161">
        <f t="shared" si="92"/>
        <v>6.7117910510879106</v>
      </c>
    </row>
    <row r="101" spans="1:26" s="6" customFormat="1" ht="23.25" hidden="1" x14ac:dyDescent="0.25">
      <c r="A101" s="12"/>
      <c r="B101" s="138" t="s">
        <v>110</v>
      </c>
      <c r="C101" s="15"/>
      <c r="D101" s="163">
        <f>D97</f>
        <v>0</v>
      </c>
      <c r="E101" s="163">
        <f>E97+E96</f>
        <v>53000</v>
      </c>
      <c r="F101" s="163">
        <f t="shared" si="65"/>
        <v>0</v>
      </c>
      <c r="G101" s="163">
        <f>G97+G96</f>
        <v>0</v>
      </c>
      <c r="H101" s="163">
        <f t="shared" ref="H101:O101" si="95">H97+H96</f>
        <v>0</v>
      </c>
      <c r="I101" s="163">
        <f t="shared" si="95"/>
        <v>0</v>
      </c>
      <c r="J101" s="163">
        <f t="shared" si="95"/>
        <v>0</v>
      </c>
      <c r="K101" s="163">
        <f t="shared" si="95"/>
        <v>0</v>
      </c>
      <c r="L101" s="163">
        <f t="shared" si="95"/>
        <v>0</v>
      </c>
      <c r="M101" s="163">
        <f t="shared" si="95"/>
        <v>0</v>
      </c>
      <c r="N101" s="161"/>
      <c r="O101" s="163">
        <f t="shared" si="95"/>
        <v>44455.875999999997</v>
      </c>
      <c r="P101" s="99">
        <f>F101-O101</f>
        <v>-44455.875999999997</v>
      </c>
      <c r="Q101" s="161"/>
      <c r="R101" s="163">
        <v>0</v>
      </c>
      <c r="S101" s="99">
        <f>F101-R101</f>
        <v>0</v>
      </c>
      <c r="T101" s="161"/>
      <c r="U101" s="200"/>
      <c r="V101" s="163">
        <f>V96+V97+V89</f>
        <v>19025.361000000001</v>
      </c>
      <c r="W101" s="99">
        <f>F101-V101</f>
        <v>-19025.361000000001</v>
      </c>
      <c r="X101" s="161">
        <f t="shared" si="92"/>
        <v>0</v>
      </c>
    </row>
    <row r="102" spans="1:26" s="8" customFormat="1" ht="23.25" x14ac:dyDescent="0.25">
      <c r="A102" s="180"/>
      <c r="B102" s="31"/>
      <c r="C102" s="141"/>
      <c r="D102" s="162"/>
      <c r="E102" s="162"/>
      <c r="F102" s="165"/>
      <c r="G102" s="165"/>
      <c r="H102" s="165"/>
      <c r="I102" s="165"/>
      <c r="J102" s="165"/>
      <c r="K102" s="165"/>
      <c r="L102" s="165"/>
      <c r="M102" s="165"/>
      <c r="N102" s="159"/>
      <c r="O102" s="162"/>
      <c r="P102" s="158"/>
      <c r="Q102" s="159"/>
      <c r="R102" s="162"/>
      <c r="S102" s="158"/>
      <c r="T102" s="159"/>
      <c r="U102" s="196"/>
      <c r="V102" s="165"/>
      <c r="W102" s="158"/>
      <c r="X102" s="159"/>
    </row>
    <row r="103" spans="1:26" s="117" customFormat="1" ht="23.25" x14ac:dyDescent="0.3">
      <c r="A103" s="110"/>
      <c r="B103" s="111" t="s">
        <v>41</v>
      </c>
      <c r="C103" s="118"/>
      <c r="D103" s="113">
        <f>D91+D99</f>
        <v>289313.098</v>
      </c>
      <c r="E103" s="113">
        <f>E91+E99</f>
        <v>350738.098</v>
      </c>
      <c r="F103" s="113">
        <f t="shared" si="65"/>
        <v>94355.361000000004</v>
      </c>
      <c r="G103" s="113">
        <f t="shared" ref="G103:O103" si="96">G91+G99</f>
        <v>13052.776</v>
      </c>
      <c r="H103" s="113">
        <f t="shared" si="96"/>
        <v>11009.893</v>
      </c>
      <c r="I103" s="113">
        <f t="shared" si="96"/>
        <v>18611.735000000001</v>
      </c>
      <c r="J103" s="113">
        <f t="shared" si="96"/>
        <v>11273.431999999999</v>
      </c>
      <c r="K103" s="113">
        <f t="shared" ref="K103:L103" si="97">K91+K99</f>
        <v>13123.981</v>
      </c>
      <c r="L103" s="113">
        <f t="shared" si="97"/>
        <v>19595.115999999998</v>
      </c>
      <c r="M103" s="113">
        <f t="shared" si="96"/>
        <v>7688.4280000000008</v>
      </c>
      <c r="N103" s="115">
        <f>F103/E103*100</f>
        <v>26.901942371826397</v>
      </c>
      <c r="O103" s="113">
        <f t="shared" si="96"/>
        <v>254958.67099999997</v>
      </c>
      <c r="P103" s="114">
        <f>F103-O103</f>
        <v>-160603.30999999997</v>
      </c>
      <c r="Q103" s="115">
        <f>F103/O103*100</f>
        <v>37.008100422675959</v>
      </c>
      <c r="R103" s="113">
        <f>R91+R99</f>
        <v>223855.55716666667</v>
      </c>
      <c r="S103" s="114">
        <f>F103-R103</f>
        <v>-129500.19616666666</v>
      </c>
      <c r="T103" s="115">
        <f>F103/R103*100</f>
        <v>42.150108844405331</v>
      </c>
      <c r="U103" s="201"/>
      <c r="V103" s="113">
        <f>V91+V99</f>
        <v>159362.89499999999</v>
      </c>
      <c r="W103" s="114">
        <f>F103-V103</f>
        <v>-65007.533999999985</v>
      </c>
      <c r="X103" s="115">
        <f>F103/V103*100</f>
        <v>59.207860775872575</v>
      </c>
      <c r="Y103" s="117">
        <v>124501.79</v>
      </c>
      <c r="Z103" s="116">
        <f>Y103-V103</f>
        <v>-34861.104999999996</v>
      </c>
    </row>
    <row r="104" spans="1:26" s="42" customFormat="1" ht="22.5" hidden="1" x14ac:dyDescent="0.3">
      <c r="A104" s="39"/>
      <c r="B104" s="40"/>
      <c r="C104" s="41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73"/>
      <c r="O104" s="147"/>
      <c r="P104" s="72"/>
      <c r="Q104" s="73"/>
      <c r="R104" s="147"/>
      <c r="S104" s="72"/>
      <c r="T104" s="73"/>
      <c r="U104" s="210"/>
      <c r="V104" s="147"/>
      <c r="W104" s="72"/>
      <c r="X104" s="73"/>
    </row>
    <row r="105" spans="1:26" s="125" customFormat="1" ht="69.75" hidden="1" x14ac:dyDescent="0.3">
      <c r="A105" s="119"/>
      <c r="B105" s="120" t="s">
        <v>66</v>
      </c>
      <c r="C105" s="121"/>
      <c r="D105" s="122">
        <f>D103-D77</f>
        <v>218866.9</v>
      </c>
      <c r="E105" s="122">
        <f>E103-E77</f>
        <v>280291.90000000002</v>
      </c>
      <c r="F105" s="122">
        <f t="shared" si="65"/>
        <v>57666.362000000001</v>
      </c>
      <c r="G105" s="122">
        <f t="shared" ref="G105:O105" si="98">G103-G77</f>
        <v>9192.4709999999995</v>
      </c>
      <c r="H105" s="122">
        <f t="shared" si="98"/>
        <v>2249.598</v>
      </c>
      <c r="I105" s="122">
        <f t="shared" si="98"/>
        <v>12762.956000000002</v>
      </c>
      <c r="J105" s="122">
        <f t="shared" si="98"/>
        <v>5581.9759999999987</v>
      </c>
      <c r="K105" s="122">
        <f t="shared" ref="K105:L105" si="99">K103-K77</f>
        <v>7914.1489999999994</v>
      </c>
      <c r="L105" s="122">
        <f t="shared" si="99"/>
        <v>15112.713999999998</v>
      </c>
      <c r="M105" s="122">
        <f t="shared" si="98"/>
        <v>4852.4980000000014</v>
      </c>
      <c r="N105" s="124">
        <f>F105/E105*100</f>
        <v>20.573681223039266</v>
      </c>
      <c r="O105" s="122">
        <f t="shared" si="98"/>
        <v>213865.05499999996</v>
      </c>
      <c r="P105" s="123">
        <f>F105-O105</f>
        <v>-156198.69299999997</v>
      </c>
      <c r="Q105" s="124">
        <f>F105/O105*100</f>
        <v>26.963901138500635</v>
      </c>
      <c r="R105" s="122">
        <f>R103-R77</f>
        <v>182761.94166666665</v>
      </c>
      <c r="S105" s="123">
        <f>F105-R105</f>
        <v>-125095.57966666666</v>
      </c>
      <c r="T105" s="124">
        <f>F105/R105*100</f>
        <v>31.552719058531199</v>
      </c>
      <c r="U105" s="211"/>
      <c r="V105" s="122">
        <f>V103-V77</f>
        <v>120996.92799999999</v>
      </c>
      <c r="W105" s="123">
        <f>F105-V105</f>
        <v>-63330.565999999984</v>
      </c>
      <c r="X105" s="124">
        <f>F105/V105*100</f>
        <v>47.659360409546935</v>
      </c>
    </row>
    <row r="106" spans="1:26" s="11" customFormat="1" ht="31.5" customHeight="1" x14ac:dyDescent="0.25">
      <c r="A106" s="221" t="s">
        <v>40</v>
      </c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</row>
    <row r="107" spans="1:26" s="125" customFormat="1" ht="23.25" x14ac:dyDescent="0.3">
      <c r="A107" s="127"/>
      <c r="B107" s="120" t="s">
        <v>171</v>
      </c>
      <c r="C107" s="121"/>
      <c r="D107" s="122">
        <f>D47+D91</f>
        <v>3920514.4869999997</v>
      </c>
      <c r="E107" s="122">
        <f>E47+E91</f>
        <v>3928939.4869999997</v>
      </c>
      <c r="F107" s="122">
        <f t="shared" ref="F107:F122" si="100">SUM(G107:M107)</f>
        <v>2146809.4959999998</v>
      </c>
      <c r="G107" s="122">
        <f t="shared" ref="G107:O107" si="101">G47+G91</f>
        <v>250348.01899999997</v>
      </c>
      <c r="H107" s="122">
        <f t="shared" si="101"/>
        <v>316324.92599999998</v>
      </c>
      <c r="I107" s="122">
        <f t="shared" si="101"/>
        <v>293871.63500000001</v>
      </c>
      <c r="J107" s="122">
        <f t="shared" si="101"/>
        <v>321819.16699999996</v>
      </c>
      <c r="K107" s="122">
        <f t="shared" ref="K107:L107" si="102">K47+K91</f>
        <v>319289.49</v>
      </c>
      <c r="L107" s="122">
        <f t="shared" si="102"/>
        <v>314075.54199999996</v>
      </c>
      <c r="M107" s="122">
        <f t="shared" si="101"/>
        <v>331080.71700000006</v>
      </c>
      <c r="N107" s="124">
        <f>F107/E107*100</f>
        <v>54.640940719584052</v>
      </c>
      <c r="O107" s="122">
        <f t="shared" si="101"/>
        <v>2036869.237</v>
      </c>
      <c r="P107" s="123">
        <f>F107-O107</f>
        <v>109940.25899999985</v>
      </c>
      <c r="Q107" s="124">
        <f>F107/O107*100</f>
        <v>105.39751187768564</v>
      </c>
      <c r="R107" s="122">
        <f>R47+R91</f>
        <v>2291881.3674166664</v>
      </c>
      <c r="S107" s="123">
        <f>F107-R107</f>
        <v>-145071.87141666654</v>
      </c>
      <c r="T107" s="124">
        <f>F107/R107*100</f>
        <v>93.670184090715537</v>
      </c>
      <c r="U107" s="211"/>
      <c r="V107" s="122">
        <f>V47+V91</f>
        <v>1847763.3889999997</v>
      </c>
      <c r="W107" s="123">
        <f>F107-V107</f>
        <v>299046.10700000008</v>
      </c>
      <c r="X107" s="124">
        <f>F107/V107*100</f>
        <v>116.18422081421596</v>
      </c>
    </row>
    <row r="108" spans="1:26" s="125" customFormat="1" ht="23.25" hidden="1" x14ac:dyDescent="0.3">
      <c r="A108" s="127"/>
      <c r="B108" s="128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4"/>
      <c r="O108" s="122"/>
      <c r="P108" s="123"/>
      <c r="Q108" s="124"/>
      <c r="R108" s="122"/>
      <c r="S108" s="123"/>
      <c r="T108" s="124"/>
      <c r="U108" s="211"/>
      <c r="V108" s="122"/>
      <c r="W108" s="123"/>
      <c r="X108" s="124"/>
    </row>
    <row r="109" spans="1:26" s="125" customFormat="1" ht="69.75" hidden="1" x14ac:dyDescent="0.3">
      <c r="A109" s="127"/>
      <c r="B109" s="120" t="s">
        <v>169</v>
      </c>
      <c r="C109" s="121"/>
      <c r="D109" s="122">
        <f>D47+D93</f>
        <v>3850068.2889999994</v>
      </c>
      <c r="E109" s="122">
        <f>E47+E93</f>
        <v>3858493.2889999994</v>
      </c>
      <c r="F109" s="122">
        <f t="shared" si="100"/>
        <v>2110120.497</v>
      </c>
      <c r="G109" s="122">
        <f t="shared" ref="G109:O109" si="103">G47+G93</f>
        <v>246487.71399999995</v>
      </c>
      <c r="H109" s="122">
        <f t="shared" si="103"/>
        <v>307564.63099999999</v>
      </c>
      <c r="I109" s="122">
        <f t="shared" si="103"/>
        <v>288022.85600000003</v>
      </c>
      <c r="J109" s="122">
        <f t="shared" si="103"/>
        <v>316127.71100000001</v>
      </c>
      <c r="K109" s="122">
        <f t="shared" ref="K109:L109" si="104">K47+K93</f>
        <v>314079.65799999994</v>
      </c>
      <c r="L109" s="122">
        <f t="shared" si="104"/>
        <v>309593.13999999996</v>
      </c>
      <c r="M109" s="122">
        <f t="shared" si="103"/>
        <v>328244.78700000007</v>
      </c>
      <c r="N109" s="124">
        <f>F109/E109*100</f>
        <v>54.687680888694182</v>
      </c>
      <c r="O109" s="122">
        <f t="shared" si="103"/>
        <v>1995775.621</v>
      </c>
      <c r="P109" s="123">
        <f>F109-O109</f>
        <v>114344.87599999993</v>
      </c>
      <c r="Q109" s="124">
        <f>F109/O109*100</f>
        <v>105.72934526290618</v>
      </c>
      <c r="R109" s="122">
        <f>R47+R93</f>
        <v>2250787.7519166665</v>
      </c>
      <c r="S109" s="123">
        <f>F109-R109</f>
        <v>-140667.25491666654</v>
      </c>
      <c r="T109" s="124">
        <f>F109/R109*100</f>
        <v>93.750310094904293</v>
      </c>
      <c r="U109" s="211"/>
      <c r="V109" s="122">
        <f>V47+V93</f>
        <v>1809397.4219999998</v>
      </c>
      <c r="W109" s="123">
        <f>F109-V109</f>
        <v>300723.07500000019</v>
      </c>
      <c r="X109" s="124">
        <f>F109/V109*100</f>
        <v>116.62006761718489</v>
      </c>
    </row>
    <row r="110" spans="1:26" s="24" customFormat="1" ht="22.5" hidden="1" x14ac:dyDescent="0.3">
      <c r="A110" s="213"/>
      <c r="B110" s="14"/>
      <c r="C110" s="19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73"/>
      <c r="O110" s="147"/>
      <c r="P110" s="72"/>
      <c r="Q110" s="73"/>
      <c r="R110" s="147"/>
      <c r="S110" s="72"/>
      <c r="T110" s="73"/>
      <c r="U110" s="204"/>
      <c r="V110" s="147"/>
      <c r="W110" s="72"/>
      <c r="X110" s="73"/>
    </row>
    <row r="111" spans="1:26" s="24" customFormat="1" ht="81" hidden="1" x14ac:dyDescent="0.3">
      <c r="A111" s="213"/>
      <c r="B111" s="212" t="s">
        <v>170</v>
      </c>
      <c r="C111" s="19"/>
      <c r="D111" s="173">
        <f>D109+D48+D49+D113</f>
        <v>4802153.1889999993</v>
      </c>
      <c r="E111" s="173">
        <f>E109+E48+E49+E113</f>
        <v>4810578.1889999993</v>
      </c>
      <c r="F111" s="173">
        <f t="shared" si="100"/>
        <v>2686901.7970000003</v>
      </c>
      <c r="G111" s="173">
        <f t="shared" ref="G111:O111" si="105">G109+G48+G49+G113</f>
        <v>310815.51399999997</v>
      </c>
      <c r="H111" s="173">
        <f t="shared" si="105"/>
        <v>379400.93099999998</v>
      </c>
      <c r="I111" s="173">
        <f t="shared" si="105"/>
        <v>362027.15600000002</v>
      </c>
      <c r="J111" s="173">
        <f t="shared" si="105"/>
        <v>390854.61100000003</v>
      </c>
      <c r="K111" s="173">
        <f t="shared" ref="K111:L111" si="106">K109+K48+K49+K113</f>
        <v>404704.95799999993</v>
      </c>
      <c r="L111" s="173">
        <f t="shared" si="106"/>
        <v>466478.24</v>
      </c>
      <c r="M111" s="173">
        <f t="shared" si="105"/>
        <v>372620.38700000005</v>
      </c>
      <c r="N111" s="130">
        <f>F111/E111*100</f>
        <v>55.854030252412159</v>
      </c>
      <c r="O111" s="173">
        <f t="shared" si="105"/>
        <v>2572556.9210000001</v>
      </c>
      <c r="P111" s="129">
        <f>F111-O111</f>
        <v>114344.87600000016</v>
      </c>
      <c r="Q111" s="130">
        <f>F111/O111*100</f>
        <v>104.44479479021797</v>
      </c>
      <c r="R111" s="173">
        <f>R109+R48+R49+R113</f>
        <v>2827569.0519166663</v>
      </c>
      <c r="S111" s="129">
        <f>F111-R111</f>
        <v>-140667.25491666608</v>
      </c>
      <c r="T111" s="130">
        <f>F111/R111*100</f>
        <v>95.025152265642646</v>
      </c>
      <c r="U111" s="204"/>
      <c r="V111" s="173">
        <f>V109+V48+V49+V113</f>
        <v>2124679.1219999995</v>
      </c>
      <c r="W111" s="129">
        <f>F111-V111</f>
        <v>562222.67500000075</v>
      </c>
      <c r="X111" s="130">
        <f>F111/V111*100</f>
        <v>126.46153337595609</v>
      </c>
      <c r="Y111" s="46"/>
    </row>
    <row r="112" spans="1:26" s="24" customFormat="1" ht="22.5" hidden="1" x14ac:dyDescent="0.3">
      <c r="A112" s="213"/>
      <c r="B112" s="14"/>
      <c r="C112" s="19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73"/>
      <c r="O112" s="147"/>
      <c r="P112" s="72"/>
      <c r="Q112" s="73"/>
      <c r="R112" s="147"/>
      <c r="S112" s="72"/>
      <c r="T112" s="73"/>
      <c r="U112" s="204"/>
      <c r="V112" s="147"/>
      <c r="W112" s="72"/>
      <c r="X112" s="73"/>
    </row>
    <row r="113" spans="1:26" s="24" customFormat="1" ht="20.25" hidden="1" x14ac:dyDescent="0.3">
      <c r="A113" s="213"/>
      <c r="B113" s="212" t="s">
        <v>72</v>
      </c>
      <c r="C113" s="19"/>
      <c r="D113" s="173">
        <v>234281.5</v>
      </c>
      <c r="E113" s="173">
        <v>234281.5</v>
      </c>
      <c r="F113" s="173">
        <f t="shared" si="100"/>
        <v>136664.5</v>
      </c>
      <c r="G113" s="173">
        <v>19523.5</v>
      </c>
      <c r="H113" s="173">
        <v>19523.5</v>
      </c>
      <c r="I113" s="173">
        <v>19523.5</v>
      </c>
      <c r="J113" s="173">
        <v>19523.5</v>
      </c>
      <c r="K113" s="173">
        <v>19523.5</v>
      </c>
      <c r="L113" s="173">
        <v>19523.5</v>
      </c>
      <c r="M113" s="173">
        <v>19523.5</v>
      </c>
      <c r="N113" s="130">
        <f>F113/E113*100</f>
        <v>58.333457827442622</v>
      </c>
      <c r="O113" s="173">
        <f>F113</f>
        <v>136664.5</v>
      </c>
      <c r="P113" s="129">
        <f>F113-O113</f>
        <v>0</v>
      </c>
      <c r="Q113" s="130">
        <f>F113/O113*100</f>
        <v>100</v>
      </c>
      <c r="R113" s="173">
        <f>O113</f>
        <v>136664.5</v>
      </c>
      <c r="S113" s="129">
        <f>F113-R113</f>
        <v>0</v>
      </c>
      <c r="T113" s="130">
        <f>F113/R113*100</f>
        <v>100</v>
      </c>
      <c r="U113" s="204"/>
      <c r="V113" s="173">
        <v>-105942.9</v>
      </c>
      <c r="W113" s="129">
        <f>F113-V113</f>
        <v>242607.4</v>
      </c>
      <c r="X113" s="130">
        <f>F113/V113*100</f>
        <v>-128.99826227146889</v>
      </c>
    </row>
    <row r="114" spans="1:26" s="24" customFormat="1" ht="22.5" x14ac:dyDescent="0.3">
      <c r="A114" s="10"/>
      <c r="B114" s="14"/>
      <c r="C114" s="19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73"/>
      <c r="O114" s="147"/>
      <c r="P114" s="72"/>
      <c r="Q114" s="73"/>
      <c r="R114" s="147"/>
      <c r="S114" s="72"/>
      <c r="T114" s="73"/>
      <c r="U114" s="204"/>
      <c r="V114" s="147"/>
      <c r="W114" s="72"/>
      <c r="X114" s="73"/>
    </row>
    <row r="115" spans="1:26" s="42" customFormat="1" ht="22.5" x14ac:dyDescent="0.3">
      <c r="A115" s="39"/>
      <c r="B115" s="43" t="s">
        <v>28</v>
      </c>
      <c r="C115" s="41"/>
      <c r="D115" s="147">
        <f>D68+D99</f>
        <v>864542.80200000003</v>
      </c>
      <c r="E115" s="147">
        <f>E68+E99</f>
        <v>936506.99100000004</v>
      </c>
      <c r="F115" s="147">
        <f t="shared" si="100"/>
        <v>473956.15399999992</v>
      </c>
      <c r="G115" s="147">
        <f t="shared" ref="G115:O115" si="107">G68+G99</f>
        <v>46907.102000000006</v>
      </c>
      <c r="H115" s="147">
        <f t="shared" si="107"/>
        <v>54592.909</v>
      </c>
      <c r="I115" s="147">
        <f t="shared" si="107"/>
        <v>58734.604000000007</v>
      </c>
      <c r="J115" s="147">
        <f t="shared" si="107"/>
        <v>57797.366999999998</v>
      </c>
      <c r="K115" s="147">
        <f t="shared" ref="K115:L115" si="108">K68+K99</f>
        <v>81686.313000000009</v>
      </c>
      <c r="L115" s="147">
        <f t="shared" si="108"/>
        <v>145334.226</v>
      </c>
      <c r="M115" s="147">
        <f t="shared" si="107"/>
        <v>28903.632999999998</v>
      </c>
      <c r="N115" s="73">
        <f>F115/E115*100</f>
        <v>50.608928556305877</v>
      </c>
      <c r="O115" s="147">
        <f t="shared" si="107"/>
        <v>636031.39199999999</v>
      </c>
      <c r="P115" s="72">
        <f>F115-O115</f>
        <v>-162075.23800000007</v>
      </c>
      <c r="Q115" s="73">
        <f>F115/O115*100</f>
        <v>74.517729778972907</v>
      </c>
      <c r="R115" s="147">
        <f>R68+R99</f>
        <v>591575.51600000006</v>
      </c>
      <c r="S115" s="72">
        <f>F115-R115</f>
        <v>-117619.36200000014</v>
      </c>
      <c r="T115" s="73">
        <f>F115/R115*100</f>
        <v>80.117608180389922</v>
      </c>
      <c r="U115" s="210"/>
      <c r="V115" s="147">
        <f>V68+V99</f>
        <v>534103.90500000003</v>
      </c>
      <c r="W115" s="72">
        <f>F115-V115</f>
        <v>-60147.751000000106</v>
      </c>
      <c r="X115" s="73">
        <f>F115/V115*100</f>
        <v>88.738567451589759</v>
      </c>
    </row>
    <row r="116" spans="1:26" s="42" customFormat="1" ht="22.5" hidden="1" x14ac:dyDescent="0.3">
      <c r="A116" s="131"/>
      <c r="B116" s="43" t="s">
        <v>76</v>
      </c>
      <c r="C116" s="41"/>
      <c r="D116" s="147">
        <f t="shared" ref="D116:E116" si="109">D117+D118</f>
        <v>864542.80200000003</v>
      </c>
      <c r="E116" s="147">
        <f t="shared" si="109"/>
        <v>936506.99100000004</v>
      </c>
      <c r="F116" s="147">
        <f t="shared" si="100"/>
        <v>473956.15399999992</v>
      </c>
      <c r="G116" s="147">
        <f t="shared" ref="G116:O116" si="110">G117+G118</f>
        <v>46907.102000000006</v>
      </c>
      <c r="H116" s="147">
        <f t="shared" ref="H116" si="111">H117+H118</f>
        <v>54592.909</v>
      </c>
      <c r="I116" s="147">
        <f t="shared" ref="I116:M116" si="112">I117+I118</f>
        <v>58734.604000000007</v>
      </c>
      <c r="J116" s="147">
        <f t="shared" ref="J116:L116" si="113">J117+J118</f>
        <v>57797.366999999998</v>
      </c>
      <c r="K116" s="147">
        <f t="shared" si="113"/>
        <v>81686.313000000009</v>
      </c>
      <c r="L116" s="147">
        <f t="shared" si="113"/>
        <v>145334.226</v>
      </c>
      <c r="M116" s="147">
        <f t="shared" si="112"/>
        <v>28903.632999999998</v>
      </c>
      <c r="N116" s="73">
        <f>F116/E116*100</f>
        <v>50.608928556305877</v>
      </c>
      <c r="O116" s="147">
        <f t="shared" si="110"/>
        <v>636031.39199999999</v>
      </c>
      <c r="P116" s="72">
        <f>F116-O116</f>
        <v>-162075.23800000007</v>
      </c>
      <c r="Q116" s="73">
        <f>F116/O116*100</f>
        <v>74.517729778972907</v>
      </c>
      <c r="R116" s="147">
        <f t="shared" ref="R116" si="114">R117+R118</f>
        <v>591575.51600000006</v>
      </c>
      <c r="S116" s="72">
        <f>F116-R116</f>
        <v>-117619.36200000014</v>
      </c>
      <c r="T116" s="73">
        <f>F116/R116*100</f>
        <v>80.117608180389922</v>
      </c>
      <c r="U116" s="210"/>
      <c r="V116" s="147">
        <f t="shared" ref="V116" si="115">V117+V118</f>
        <v>521893.10499999998</v>
      </c>
      <c r="W116" s="72">
        <f>F116-V116</f>
        <v>-47936.951000000059</v>
      </c>
      <c r="X116" s="73">
        <f>F116/V116*100</f>
        <v>90.814795110197892</v>
      </c>
    </row>
    <row r="117" spans="1:26" s="134" customFormat="1" ht="23.25" hidden="1" x14ac:dyDescent="0.35">
      <c r="A117" s="132"/>
      <c r="B117" s="133" t="s">
        <v>111</v>
      </c>
      <c r="C117" s="133"/>
      <c r="D117" s="163">
        <f>D72+D100</f>
        <v>838223.4</v>
      </c>
      <c r="E117" s="163">
        <f>E72+E100</f>
        <v>848223.4</v>
      </c>
      <c r="F117" s="163">
        <f t="shared" si="100"/>
        <v>451007.1</v>
      </c>
      <c r="G117" s="163">
        <f t="shared" ref="G117:O117" si="116">G72+G100</f>
        <v>44804.3</v>
      </c>
      <c r="H117" s="163">
        <f t="shared" si="116"/>
        <v>52312.800000000003</v>
      </c>
      <c r="I117" s="163">
        <f t="shared" si="116"/>
        <v>56011.100000000006</v>
      </c>
      <c r="J117" s="163">
        <f t="shared" si="116"/>
        <v>55203.4</v>
      </c>
      <c r="K117" s="163">
        <f t="shared" ref="K117:L117" si="117">K72+K100</f>
        <v>76945.8</v>
      </c>
      <c r="L117" s="163">
        <f t="shared" si="117"/>
        <v>139119.6</v>
      </c>
      <c r="M117" s="163">
        <f t="shared" si="116"/>
        <v>26610.1</v>
      </c>
      <c r="N117" s="161">
        <f>F117/E117*100</f>
        <v>53.170792034268324</v>
      </c>
      <c r="O117" s="163">
        <f t="shared" si="116"/>
        <v>567568.80000000005</v>
      </c>
      <c r="P117" s="99">
        <f>F117-O117</f>
        <v>-116561.70000000007</v>
      </c>
      <c r="Q117" s="161">
        <f>F117/O117*100</f>
        <v>79.462983166093679</v>
      </c>
      <c r="R117" s="163">
        <f>R72+R100</f>
        <v>567568.80000000005</v>
      </c>
      <c r="S117" s="99">
        <f>F117-R117</f>
        <v>-116561.70000000007</v>
      </c>
      <c r="T117" s="161">
        <f>F117/R117*100</f>
        <v>79.462983166093679</v>
      </c>
      <c r="U117" s="214"/>
      <c r="V117" s="163">
        <f>V72+V100</f>
        <v>478710.00099999999</v>
      </c>
      <c r="W117" s="99">
        <f>F117-V117</f>
        <v>-27702.901000000013</v>
      </c>
      <c r="X117" s="161">
        <f>F117/V117*100</f>
        <v>94.213009767472983</v>
      </c>
    </row>
    <row r="118" spans="1:26" s="134" customFormat="1" ht="23.25" hidden="1" x14ac:dyDescent="0.35">
      <c r="A118" s="132"/>
      <c r="B118" s="133" t="s">
        <v>110</v>
      </c>
      <c r="C118" s="133"/>
      <c r="D118" s="163">
        <f>D101+D73</f>
        <v>26319.402000000002</v>
      </c>
      <c r="E118" s="163">
        <f>E101+E73</f>
        <v>88283.591</v>
      </c>
      <c r="F118" s="163">
        <f t="shared" si="100"/>
        <v>22949.054</v>
      </c>
      <c r="G118" s="163">
        <f t="shared" ref="G118:O118" si="118">G101+G73</f>
        <v>2102.8020000000001</v>
      </c>
      <c r="H118" s="163">
        <f t="shared" si="118"/>
        <v>2280.1089999999999</v>
      </c>
      <c r="I118" s="163">
        <f t="shared" si="118"/>
        <v>2723.5039999999999</v>
      </c>
      <c r="J118" s="163">
        <f t="shared" si="118"/>
        <v>2593.9670000000001</v>
      </c>
      <c r="K118" s="163">
        <f t="shared" ref="K118:L118" si="119">K101+K73</f>
        <v>4740.5129999999999</v>
      </c>
      <c r="L118" s="163">
        <f t="shared" si="119"/>
        <v>6214.6260000000002</v>
      </c>
      <c r="M118" s="163">
        <f t="shared" si="118"/>
        <v>2293.5329999999999</v>
      </c>
      <c r="N118" s="161">
        <f>F118/E118*100</f>
        <v>25.994699286756472</v>
      </c>
      <c r="O118" s="163">
        <f t="shared" si="118"/>
        <v>68462.592000000004</v>
      </c>
      <c r="P118" s="99">
        <f>F118-O118</f>
        <v>-45513.538</v>
      </c>
      <c r="Q118" s="161">
        <f>F118/O118*100</f>
        <v>33.520574272151421</v>
      </c>
      <c r="R118" s="163">
        <f>R101+R73</f>
        <v>24006.716</v>
      </c>
      <c r="S118" s="99">
        <f>F118-R118</f>
        <v>-1057.6620000000003</v>
      </c>
      <c r="T118" s="161">
        <f>F118/R118*100</f>
        <v>95.594307859517315</v>
      </c>
      <c r="U118" s="214"/>
      <c r="V118" s="163">
        <f>V101+V73</f>
        <v>43183.103999999999</v>
      </c>
      <c r="W118" s="99">
        <f>F118-V118</f>
        <v>-20234.05</v>
      </c>
      <c r="X118" s="161">
        <f>F118/V118*100</f>
        <v>53.143595235766284</v>
      </c>
    </row>
    <row r="119" spans="1:26" s="6" customFormat="1" ht="23.25" x14ac:dyDescent="0.25">
      <c r="A119" s="20"/>
      <c r="B119" s="34"/>
      <c r="C119" s="15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1"/>
      <c r="O119" s="163"/>
      <c r="P119" s="99"/>
      <c r="Q119" s="161"/>
      <c r="R119" s="163"/>
      <c r="S119" s="99"/>
      <c r="T119" s="161"/>
      <c r="U119" s="200"/>
      <c r="V119" s="163"/>
      <c r="W119" s="99"/>
      <c r="X119" s="161"/>
    </row>
    <row r="120" spans="1:26" s="117" customFormat="1" ht="46.5" x14ac:dyDescent="0.3">
      <c r="A120" s="126"/>
      <c r="B120" s="111" t="s">
        <v>160</v>
      </c>
      <c r="C120" s="118"/>
      <c r="D120" s="113">
        <f>D107+D115</f>
        <v>4785057.2889999999</v>
      </c>
      <c r="E120" s="113">
        <f>E107+E115</f>
        <v>4865446.4780000001</v>
      </c>
      <c r="F120" s="113">
        <f t="shared" si="100"/>
        <v>2620765.65</v>
      </c>
      <c r="G120" s="113">
        <f t="shared" ref="G120:O120" si="120">G107+G115</f>
        <v>297255.12099999998</v>
      </c>
      <c r="H120" s="113">
        <f t="shared" si="120"/>
        <v>370917.83499999996</v>
      </c>
      <c r="I120" s="113">
        <f t="shared" si="120"/>
        <v>352606.239</v>
      </c>
      <c r="J120" s="113">
        <f t="shared" si="120"/>
        <v>379616.53399999999</v>
      </c>
      <c r="K120" s="113">
        <f t="shared" ref="K120:L120" si="121">K107+K115</f>
        <v>400975.80300000001</v>
      </c>
      <c r="L120" s="113">
        <f t="shared" si="121"/>
        <v>459409.76799999992</v>
      </c>
      <c r="M120" s="113">
        <f t="shared" si="120"/>
        <v>359984.35000000003</v>
      </c>
      <c r="N120" s="115">
        <f>F120/E120*100</f>
        <v>53.864854168065925</v>
      </c>
      <c r="O120" s="113">
        <f t="shared" si="120"/>
        <v>2672900.6289999997</v>
      </c>
      <c r="P120" s="114">
        <f>F120-O120</f>
        <v>-52134.978999999817</v>
      </c>
      <c r="Q120" s="115">
        <f>F120/O120*100</f>
        <v>98.049498045892378</v>
      </c>
      <c r="R120" s="113">
        <f>R103+R75</f>
        <v>2883456.8834166662</v>
      </c>
      <c r="S120" s="114">
        <f>F120-R120</f>
        <v>-262691.23341666628</v>
      </c>
      <c r="T120" s="115">
        <f>F120/R120*100</f>
        <v>90.889711757874522</v>
      </c>
      <c r="U120" s="201"/>
      <c r="V120" s="113">
        <f>V103+V75</f>
        <v>2381867.2939999998</v>
      </c>
      <c r="W120" s="114">
        <f>F120-V120</f>
        <v>238898.35600000015</v>
      </c>
      <c r="X120" s="115">
        <f>F120/V120*100</f>
        <v>110.0298768366228</v>
      </c>
      <c r="Y120" s="113">
        <v>2381867.2939999998</v>
      </c>
      <c r="Z120" s="113">
        <f>Y120-V120</f>
        <v>0</v>
      </c>
    </row>
    <row r="121" spans="1:26" s="42" customFormat="1" ht="22.5" hidden="1" x14ac:dyDescent="0.3">
      <c r="A121" s="181"/>
      <c r="B121" s="182"/>
      <c r="C121" s="183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84"/>
      <c r="O121" s="154"/>
      <c r="P121" s="185"/>
      <c r="Q121" s="184"/>
      <c r="R121" s="186"/>
      <c r="S121" s="185"/>
      <c r="T121" s="184"/>
      <c r="V121" s="154"/>
      <c r="W121" s="185"/>
      <c r="X121" s="184"/>
    </row>
    <row r="122" spans="1:26" s="42" customFormat="1" ht="87" hidden="1" x14ac:dyDescent="0.3">
      <c r="A122" s="44"/>
      <c r="B122" s="96" t="s">
        <v>77</v>
      </c>
      <c r="C122" s="41"/>
      <c r="D122" s="147">
        <f>D75+D105</f>
        <v>4714611.091</v>
      </c>
      <c r="E122" s="147">
        <f t="shared" si="64"/>
        <v>4714611.091</v>
      </c>
      <c r="F122" s="147">
        <f t="shared" si="100"/>
        <v>2584076.6509999996</v>
      </c>
      <c r="G122" s="147">
        <f>G75+G105</f>
        <v>293394.81599999999</v>
      </c>
      <c r="H122" s="147">
        <f>H75+H105</f>
        <v>362157.54</v>
      </c>
      <c r="I122" s="147">
        <f>I75+I105</f>
        <v>346757.46</v>
      </c>
      <c r="J122" s="147">
        <f>J75+J105</f>
        <v>373925.07799999998</v>
      </c>
      <c r="K122" s="147">
        <f t="shared" ref="K122" si="122">K75+K105</f>
        <v>395765.97099999996</v>
      </c>
      <c r="L122" s="147">
        <f>L75+L105</f>
        <v>454927.36599999998</v>
      </c>
      <c r="M122" s="147">
        <f>M75+M105</f>
        <v>357148.42000000004</v>
      </c>
      <c r="N122" s="73">
        <f>F122/E122*100</f>
        <v>54.809964196896246</v>
      </c>
      <c r="O122" s="147">
        <f>O75+O105</f>
        <v>2631807.0130000003</v>
      </c>
      <c r="P122" s="72">
        <f>F122-O122</f>
        <v>-47730.362000000663</v>
      </c>
      <c r="Q122" s="73">
        <f>F122/O122*100</f>
        <v>98.186403419238829</v>
      </c>
      <c r="R122" s="147">
        <f>R75+R105</f>
        <v>2842363.2679166663</v>
      </c>
      <c r="S122" s="72">
        <f>F122-R122</f>
        <v>-258286.61691666674</v>
      </c>
      <c r="T122" s="73">
        <f>F122/R122*100</f>
        <v>90.912962469220901</v>
      </c>
      <c r="V122" s="147">
        <f>V75+V105</f>
        <v>2343501.3269999996</v>
      </c>
      <c r="W122" s="72">
        <f>F122-V122</f>
        <v>240575.32400000002</v>
      </c>
      <c r="X122" s="73">
        <f>F122/V122*100</f>
        <v>110.26563634627718</v>
      </c>
    </row>
    <row r="123" spans="1:26" s="13" customFormat="1" ht="3.75" hidden="1" customHeight="1" x14ac:dyDescent="0.3">
      <c r="A123" s="28"/>
      <c r="B123" s="29"/>
      <c r="C123" s="30"/>
      <c r="D123" s="30"/>
      <c r="E123" s="174"/>
      <c r="F123" s="174"/>
      <c r="G123" s="174"/>
      <c r="H123" s="174"/>
      <c r="I123" s="174"/>
      <c r="J123" s="174"/>
      <c r="K123" s="174"/>
      <c r="L123" s="174"/>
      <c r="M123" s="174"/>
      <c r="N123" s="76"/>
      <c r="O123" s="174"/>
      <c r="P123" s="75"/>
      <c r="Q123" s="76"/>
      <c r="R123" s="174"/>
      <c r="S123" s="75"/>
      <c r="T123" s="76"/>
      <c r="V123" s="174"/>
      <c r="W123" s="75"/>
      <c r="X123" s="76"/>
    </row>
    <row r="124" spans="1:26" s="13" customFormat="1" ht="121.5" hidden="1" customHeight="1" x14ac:dyDescent="0.4">
      <c r="A124" s="28"/>
      <c r="B124" s="145" t="s">
        <v>98</v>
      </c>
      <c r="C124" s="145"/>
      <c r="D124" s="145"/>
      <c r="E124" s="145"/>
      <c r="F124" s="145" t="s">
        <v>99</v>
      </c>
      <c r="G124" s="145"/>
      <c r="H124" s="145"/>
      <c r="I124" s="145"/>
      <c r="J124" s="145"/>
      <c r="K124" s="145"/>
      <c r="L124" s="145"/>
      <c r="M124" s="145"/>
      <c r="N124" s="76"/>
      <c r="O124" s="174"/>
      <c r="P124" s="75"/>
      <c r="Q124" s="76"/>
      <c r="R124" s="174"/>
      <c r="S124" s="75"/>
      <c r="T124" s="76"/>
      <c r="V124" s="145"/>
      <c r="W124" s="75"/>
      <c r="X124" s="76"/>
    </row>
    <row r="125" spans="1:26" s="6" customFormat="1" ht="18" hidden="1" customHeight="1" x14ac:dyDescent="0.45">
      <c r="A125" s="4"/>
      <c r="B125" s="23" t="s">
        <v>52</v>
      </c>
      <c r="C125" s="16"/>
      <c r="D125" s="16"/>
      <c r="E125" s="16"/>
      <c r="F125" s="175"/>
      <c r="G125" s="175"/>
      <c r="H125" s="175"/>
      <c r="I125" s="175"/>
      <c r="J125" s="175"/>
      <c r="K125" s="175"/>
      <c r="L125" s="175"/>
      <c r="M125" s="175"/>
      <c r="N125" s="78"/>
      <c r="O125" s="5"/>
      <c r="P125" s="77"/>
      <c r="Q125" s="78"/>
      <c r="R125" s="5"/>
      <c r="S125" s="77"/>
      <c r="T125" s="78"/>
      <c r="V125" s="175"/>
      <c r="W125" s="77"/>
      <c r="X125" s="78"/>
    </row>
    <row r="126" spans="1:26" s="6" customFormat="1" ht="30.75" hidden="1" x14ac:dyDescent="0.45">
      <c r="A126" s="4"/>
      <c r="B126" s="16"/>
      <c r="C126" s="16"/>
      <c r="D126" s="16"/>
      <c r="E126" s="103"/>
      <c r="F126" s="175"/>
      <c r="G126" s="175"/>
      <c r="H126" s="175"/>
      <c r="I126" s="175"/>
      <c r="J126" s="175"/>
      <c r="K126" s="175"/>
      <c r="L126" s="175"/>
      <c r="M126" s="175"/>
      <c r="N126" s="78"/>
      <c r="O126" s="5"/>
      <c r="P126" s="77"/>
      <c r="Q126" s="78"/>
      <c r="R126" s="5"/>
      <c r="S126" s="77"/>
      <c r="T126" s="78"/>
      <c r="V126" s="175"/>
      <c r="W126" s="77"/>
      <c r="X126" s="78"/>
    </row>
    <row r="127" spans="1:26" s="2" customFormat="1" ht="30.75" hidden="1" x14ac:dyDescent="0.45">
      <c r="A127" s="21"/>
      <c r="B127" s="16"/>
      <c r="C127" s="16"/>
      <c r="D127" s="155">
        <v>4785057.2889999999</v>
      </c>
      <c r="E127" s="155">
        <v>4865446.4780000001</v>
      </c>
      <c r="F127" s="155">
        <v>2620765.65</v>
      </c>
      <c r="G127" s="155">
        <v>297255.12099999998</v>
      </c>
      <c r="H127" s="155">
        <v>370917.83299999998</v>
      </c>
      <c r="I127" s="155">
        <v>352606.24</v>
      </c>
      <c r="J127" s="155">
        <v>379616.53399999999</v>
      </c>
      <c r="K127" s="155">
        <v>400975.80300000001</v>
      </c>
      <c r="L127" s="155">
        <v>459409.76799999998</v>
      </c>
      <c r="M127" s="155">
        <v>359984.35</v>
      </c>
      <c r="N127" s="3"/>
      <c r="O127" s="155">
        <v>2672900.6290000002</v>
      </c>
      <c r="P127" s="3"/>
      <c r="Q127" s="3"/>
      <c r="R127" s="145"/>
      <c r="S127" s="3"/>
      <c r="T127" s="3"/>
      <c r="V127" s="155"/>
      <c r="W127" s="3"/>
    </row>
    <row r="128" spans="1:26" ht="12" hidden="1" customHeight="1" x14ac:dyDescent="0.45">
      <c r="B128" s="23"/>
      <c r="C128" s="175"/>
      <c r="D128" s="175"/>
      <c r="E128" s="175"/>
      <c r="F128" s="175"/>
      <c r="V128" s="175"/>
    </row>
    <row r="129" spans="1:49" s="176" customFormat="1" ht="30.75" hidden="1" customHeight="1" x14ac:dyDescent="0.45">
      <c r="A129" s="22"/>
      <c r="B129" s="16"/>
      <c r="C129" s="16"/>
      <c r="D129" s="16"/>
      <c r="E129" s="16"/>
      <c r="F129" s="175"/>
      <c r="N129" s="179"/>
      <c r="P129" s="179"/>
      <c r="Q129" s="179"/>
      <c r="R129" s="179"/>
      <c r="S129" s="179"/>
      <c r="T129" s="179"/>
      <c r="V129" s="175"/>
      <c r="W129" s="179"/>
    </row>
    <row r="130" spans="1:49" s="176" customFormat="1" ht="30.75" hidden="1" customHeight="1" x14ac:dyDescent="0.45">
      <c r="A130" s="22"/>
      <c r="B130" s="16"/>
      <c r="C130" s="16"/>
      <c r="D130" s="16"/>
      <c r="E130" s="16"/>
      <c r="F130" s="175"/>
      <c r="N130" s="179"/>
      <c r="P130" s="179"/>
      <c r="Q130" s="179"/>
      <c r="R130" s="179"/>
      <c r="S130" s="179"/>
      <c r="T130" s="179"/>
      <c r="V130" s="175"/>
      <c r="W130" s="179"/>
    </row>
    <row r="131" spans="1:49" s="176" customFormat="1" ht="16.5" hidden="1" customHeight="1" x14ac:dyDescent="0.45">
      <c r="A131" s="22"/>
      <c r="B131" s="23"/>
      <c r="C131" s="175"/>
      <c r="D131" s="175"/>
      <c r="E131" s="175"/>
      <c r="F131" s="175"/>
      <c r="N131" s="179"/>
      <c r="P131" s="179"/>
      <c r="Q131" s="179"/>
      <c r="R131" s="179"/>
      <c r="S131" s="179"/>
      <c r="T131" s="179"/>
      <c r="V131" s="175"/>
      <c r="W131" s="179"/>
    </row>
    <row r="132" spans="1:49" ht="18.75" hidden="1" x14ac:dyDescent="0.3">
      <c r="B132" s="21"/>
      <c r="D132" s="155">
        <f>D127-D120</f>
        <v>0</v>
      </c>
      <c r="E132" s="155">
        <f t="shared" ref="E132:M132" si="123">E127-E120</f>
        <v>0</v>
      </c>
      <c r="F132" s="155">
        <f t="shared" si="123"/>
        <v>0</v>
      </c>
      <c r="G132" s="155">
        <f t="shared" si="123"/>
        <v>0</v>
      </c>
      <c r="H132" s="155">
        <f t="shared" si="123"/>
        <v>-1.9999999785795808E-3</v>
      </c>
      <c r="I132" s="155">
        <f t="shared" ref="I132:L132" si="124">I127-I120</f>
        <v>9.9999998928979039E-4</v>
      </c>
      <c r="J132" s="155">
        <f t="shared" si="124"/>
        <v>0</v>
      </c>
      <c r="K132" s="155">
        <f t="shared" si="124"/>
        <v>0</v>
      </c>
      <c r="L132" s="155">
        <f t="shared" si="124"/>
        <v>0</v>
      </c>
      <c r="M132" s="155">
        <f t="shared" si="123"/>
        <v>0</v>
      </c>
      <c r="O132" s="155">
        <f>O127-O120</f>
        <v>0</v>
      </c>
      <c r="P132" s="222" t="s">
        <v>49</v>
      </c>
      <c r="Q132" s="222"/>
      <c r="R132" s="80">
        <f>E47/12*7</f>
        <v>2188445.8102499996</v>
      </c>
      <c r="V132" s="155"/>
    </row>
    <row r="133" spans="1:49" ht="18.75" hidden="1" x14ac:dyDescent="0.3">
      <c r="B133" s="21"/>
      <c r="O133" s="95"/>
      <c r="P133" s="179"/>
      <c r="Q133" s="179"/>
      <c r="R133" s="80">
        <f>R132-R47</f>
        <v>0</v>
      </c>
    </row>
    <row r="134" spans="1:49" ht="18.75" hidden="1" x14ac:dyDescent="0.3">
      <c r="B134" s="2"/>
      <c r="C134" s="171"/>
      <c r="D134" s="171"/>
      <c r="E134" s="94">
        <v>4809905.6789999995</v>
      </c>
      <c r="F134" s="94">
        <v>1801371.531</v>
      </c>
      <c r="P134" s="222" t="s">
        <v>50</v>
      </c>
      <c r="Q134" s="222"/>
      <c r="R134" s="79">
        <f>E91/12*7</f>
        <v>103435.55716666667</v>
      </c>
      <c r="V134" s="94"/>
    </row>
    <row r="135" spans="1:49" ht="18.75" hidden="1" x14ac:dyDescent="0.3">
      <c r="B135" s="2"/>
      <c r="C135" s="171"/>
      <c r="D135" s="171"/>
      <c r="E135" s="94">
        <f>E134-E120</f>
        <v>-55540.799000000581</v>
      </c>
      <c r="F135" s="94">
        <f>F134-F120</f>
        <v>-819394.11899999995</v>
      </c>
      <c r="P135" s="179"/>
      <c r="Q135" s="179"/>
      <c r="R135" s="80">
        <f>R134-R91</f>
        <v>0</v>
      </c>
    </row>
    <row r="136" spans="1:49" ht="22.5" hidden="1" x14ac:dyDescent="0.3">
      <c r="B136" s="2"/>
      <c r="C136" s="171"/>
      <c r="D136" s="171"/>
      <c r="E136" s="104"/>
      <c r="F136" s="104"/>
      <c r="P136" s="222" t="s">
        <v>51</v>
      </c>
      <c r="Q136" s="222"/>
      <c r="R136" s="80">
        <f>R134+R99</f>
        <v>223855.55716666667</v>
      </c>
      <c r="V136" s="104"/>
    </row>
    <row r="137" spans="1:49" ht="18.75" hidden="1" x14ac:dyDescent="0.3">
      <c r="B137" s="2"/>
      <c r="C137" s="171"/>
      <c r="D137" s="171"/>
      <c r="E137" s="171"/>
      <c r="P137" s="179"/>
      <c r="Q137" s="179"/>
      <c r="R137" s="80">
        <f>R136-R103</f>
        <v>0</v>
      </c>
    </row>
    <row r="138" spans="1:49" ht="18.75" hidden="1" x14ac:dyDescent="0.3">
      <c r="B138" s="2"/>
      <c r="C138" s="171"/>
      <c r="D138" s="171"/>
      <c r="E138" s="171"/>
    </row>
    <row r="139" spans="1:49" ht="18.75" hidden="1" x14ac:dyDescent="0.3">
      <c r="B139" s="105"/>
      <c r="C139" s="171"/>
      <c r="D139" s="171"/>
      <c r="E139" s="171"/>
    </row>
    <row r="140" spans="1:49" ht="18.75" hidden="1" x14ac:dyDescent="0.3">
      <c r="B140" s="2"/>
      <c r="C140" s="171"/>
      <c r="D140" s="171"/>
      <c r="E140" s="171"/>
    </row>
    <row r="141" spans="1:49" s="17" customFormat="1" ht="18.75" hidden="1" x14ac:dyDescent="0.3">
      <c r="B141" s="2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"/>
      <c r="O141" s="171"/>
      <c r="P141" s="1"/>
      <c r="Q141" s="1"/>
      <c r="R141" s="1"/>
      <c r="S141" s="1"/>
      <c r="T141" s="1"/>
      <c r="V141" s="171"/>
      <c r="W141" s="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</row>
    <row r="142" spans="1:49" s="17" customFormat="1" ht="18.75" hidden="1" x14ac:dyDescent="0.3">
      <c r="B142" s="2"/>
      <c r="C142" s="171"/>
      <c r="D142" s="171"/>
      <c r="E142" s="94"/>
      <c r="F142" s="94"/>
      <c r="G142" s="171"/>
      <c r="H142" s="171"/>
      <c r="I142" s="171"/>
      <c r="J142" s="171"/>
      <c r="K142" s="171"/>
      <c r="L142" s="171"/>
      <c r="M142" s="171"/>
      <c r="N142" s="1"/>
      <c r="O142" s="171"/>
      <c r="P142" s="1"/>
      <c r="Q142" s="1"/>
      <c r="R142" s="1"/>
      <c r="S142" s="1"/>
      <c r="T142" s="1"/>
      <c r="V142" s="94"/>
      <c r="W142" s="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</row>
    <row r="143" spans="1:49" s="17" customFormat="1" ht="18.75" hidden="1" x14ac:dyDescent="0.3">
      <c r="B143" s="2"/>
      <c r="C143" s="171"/>
      <c r="D143" s="217"/>
      <c r="E143" s="171"/>
      <c r="F143" s="171"/>
      <c r="G143" s="171"/>
      <c r="H143" s="171"/>
      <c r="I143" s="171"/>
      <c r="J143" s="171"/>
      <c r="K143" s="171"/>
      <c r="L143" s="171"/>
      <c r="M143" s="171"/>
      <c r="N143" s="1"/>
      <c r="O143" s="171"/>
      <c r="P143" s="1"/>
      <c r="Q143" s="1"/>
      <c r="R143" s="1"/>
      <c r="S143" s="1"/>
      <c r="T143" s="1"/>
      <c r="V143" s="171"/>
      <c r="W143" s="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1"/>
      <c r="AQ143" s="171"/>
      <c r="AR143" s="171"/>
      <c r="AS143" s="171"/>
      <c r="AT143" s="171"/>
      <c r="AU143" s="171"/>
      <c r="AV143" s="171"/>
      <c r="AW143" s="171"/>
    </row>
    <row r="144" spans="1:49" s="17" customFormat="1" ht="18.75" hidden="1" x14ac:dyDescent="0.3">
      <c r="B144" s="2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"/>
      <c r="O144" s="171"/>
      <c r="P144" s="1"/>
      <c r="Q144" s="1"/>
      <c r="R144" s="1"/>
      <c r="S144" s="1"/>
      <c r="T144" s="1"/>
      <c r="V144" s="171"/>
      <c r="W144" s="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  <c r="AM144" s="171"/>
      <c r="AN144" s="171"/>
      <c r="AO144" s="171"/>
      <c r="AP144" s="171"/>
      <c r="AQ144" s="171"/>
      <c r="AR144" s="171"/>
      <c r="AS144" s="171"/>
      <c r="AT144" s="171"/>
      <c r="AU144" s="171"/>
      <c r="AV144" s="171"/>
      <c r="AW144" s="171"/>
    </row>
    <row r="145" spans="2:49" s="17" customFormat="1" ht="22.5" hidden="1" x14ac:dyDescent="0.3">
      <c r="B145" s="2"/>
      <c r="C145" s="171"/>
      <c r="D145" s="104"/>
      <c r="E145" s="171"/>
      <c r="F145" s="171"/>
      <c r="G145" s="171"/>
      <c r="H145" s="171"/>
      <c r="I145" s="171"/>
      <c r="J145" s="171"/>
      <c r="K145" s="171"/>
      <c r="L145" s="171"/>
      <c r="M145" s="171"/>
      <c r="N145" s="1"/>
      <c r="O145" s="171"/>
      <c r="P145" s="1"/>
      <c r="Q145" s="1"/>
      <c r="R145" s="1"/>
      <c r="S145" s="1"/>
      <c r="T145" s="1"/>
      <c r="V145" s="171"/>
      <c r="W145" s="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  <c r="AM145" s="171"/>
      <c r="AN145" s="171"/>
      <c r="AO145" s="171"/>
      <c r="AP145" s="171"/>
      <c r="AQ145" s="171"/>
      <c r="AR145" s="171"/>
      <c r="AS145" s="171"/>
      <c r="AT145" s="171"/>
      <c r="AU145" s="171"/>
      <c r="AV145" s="171"/>
      <c r="AW145" s="171"/>
    </row>
    <row r="146" spans="2:49" s="17" customFormat="1" ht="18.75" x14ac:dyDescent="0.3">
      <c r="B146" s="2"/>
      <c r="C146" s="171"/>
      <c r="D146" s="171"/>
      <c r="E146" s="171"/>
      <c r="F146" s="94"/>
      <c r="G146" s="171"/>
      <c r="H146" s="171"/>
      <c r="I146" s="171"/>
      <c r="J146" s="171"/>
      <c r="K146" s="171"/>
      <c r="L146" s="171"/>
      <c r="M146" s="171"/>
      <c r="N146" s="1"/>
      <c r="O146" s="171"/>
      <c r="P146" s="1"/>
      <c r="Q146" s="1"/>
      <c r="R146" s="1"/>
      <c r="S146" s="1"/>
      <c r="T146" s="1"/>
      <c r="V146" s="94"/>
      <c r="W146" s="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1"/>
      <c r="AQ146" s="171"/>
      <c r="AR146" s="171"/>
      <c r="AS146" s="171"/>
      <c r="AT146" s="171"/>
      <c r="AU146" s="171"/>
      <c r="AV146" s="171"/>
      <c r="AW146" s="171"/>
    </row>
    <row r="147" spans="2:49" s="17" customFormat="1" ht="18.75" x14ac:dyDescent="0.3">
      <c r="B147" s="2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"/>
      <c r="O147" s="171"/>
      <c r="P147" s="1"/>
      <c r="Q147" s="1"/>
      <c r="R147" s="1"/>
      <c r="S147" s="1"/>
      <c r="T147" s="1"/>
      <c r="V147" s="171"/>
      <c r="W147" s="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  <c r="AM147" s="171"/>
      <c r="AN147" s="171"/>
      <c r="AO147" s="171"/>
      <c r="AP147" s="171"/>
      <c r="AQ147" s="171"/>
      <c r="AR147" s="171"/>
      <c r="AS147" s="171"/>
      <c r="AT147" s="171"/>
      <c r="AU147" s="171"/>
      <c r="AV147" s="171"/>
      <c r="AW147" s="171"/>
    </row>
    <row r="148" spans="2:49" s="17" customFormat="1" ht="30" x14ac:dyDescent="0.4">
      <c r="B148" s="145" t="s">
        <v>214</v>
      </c>
      <c r="C148" s="145"/>
      <c r="D148" s="145"/>
      <c r="E148" s="145"/>
      <c r="F148" s="145" t="s">
        <v>215</v>
      </c>
      <c r="G148" s="145"/>
      <c r="H148" s="174"/>
      <c r="I148" s="75"/>
      <c r="J148" s="1"/>
      <c r="K148" s="1"/>
      <c r="L148" s="1"/>
      <c r="M148" s="76"/>
      <c r="N148" s="1"/>
      <c r="O148" s="171"/>
      <c r="P148" s="1"/>
      <c r="Q148" s="1"/>
      <c r="R148" s="1"/>
      <c r="S148" s="1"/>
      <c r="T148" s="1"/>
      <c r="V148" s="171"/>
      <c r="W148" s="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1"/>
      <c r="AQ148" s="171"/>
      <c r="AR148" s="171"/>
      <c r="AS148" s="171"/>
      <c r="AT148" s="171"/>
      <c r="AU148" s="171"/>
      <c r="AV148" s="171"/>
      <c r="AW148" s="171"/>
    </row>
    <row r="149" spans="2:49" s="17" customFormat="1" ht="30.75" x14ac:dyDescent="0.45">
      <c r="B149" s="23" t="s">
        <v>52</v>
      </c>
      <c r="C149" s="16"/>
      <c r="D149" s="16"/>
      <c r="E149" s="16"/>
      <c r="F149" s="175"/>
      <c r="G149" s="175"/>
      <c r="H149" s="5"/>
      <c r="I149" s="77"/>
      <c r="J149" s="1"/>
      <c r="K149" s="1"/>
      <c r="L149" s="1"/>
      <c r="M149" s="78"/>
      <c r="N149" s="1"/>
      <c r="O149" s="171"/>
      <c r="P149" s="1"/>
      <c r="Q149" s="1"/>
      <c r="R149" s="1"/>
      <c r="S149" s="1"/>
      <c r="T149" s="1"/>
      <c r="V149" s="171"/>
      <c r="W149" s="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1"/>
      <c r="AN149" s="171"/>
      <c r="AO149" s="171"/>
      <c r="AP149" s="171"/>
      <c r="AQ149" s="171"/>
      <c r="AR149" s="171"/>
      <c r="AS149" s="171"/>
      <c r="AT149" s="171"/>
      <c r="AU149" s="171"/>
      <c r="AV149" s="171"/>
      <c r="AW149" s="171"/>
    </row>
    <row r="150" spans="2:49" s="17" customFormat="1" ht="18.75" x14ac:dyDescent="0.3">
      <c r="B150" s="21"/>
      <c r="F150" s="171"/>
      <c r="G150" s="171"/>
      <c r="H150" s="171"/>
      <c r="I150" s="171"/>
      <c r="J150" s="171"/>
      <c r="K150" s="171"/>
      <c r="L150" s="171"/>
      <c r="M150" s="171"/>
      <c r="N150" s="1"/>
      <c r="O150" s="171"/>
      <c r="P150" s="1"/>
      <c r="Q150" s="1"/>
      <c r="R150" s="1"/>
      <c r="S150" s="1"/>
      <c r="T150" s="1"/>
      <c r="V150" s="171"/>
      <c r="W150" s="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1"/>
      <c r="AT150" s="171"/>
      <c r="AU150" s="171"/>
      <c r="AV150" s="171"/>
      <c r="AW150" s="171"/>
    </row>
  </sheetData>
  <mergeCells count="33">
    <mergeCell ref="G3:G4"/>
    <mergeCell ref="M3:M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P134:Q134"/>
    <mergeCell ref="P136:Q136"/>
    <mergeCell ref="C19:C21"/>
    <mergeCell ref="A55:A57"/>
    <mergeCell ref="C55:C57"/>
    <mergeCell ref="A1:X1"/>
    <mergeCell ref="B6:X6"/>
    <mergeCell ref="B76:X76"/>
    <mergeCell ref="A106:X106"/>
    <mergeCell ref="P132:Q132"/>
    <mergeCell ref="X3:X4"/>
    <mergeCell ref="O3:O4"/>
    <mergeCell ref="P3:P4"/>
    <mergeCell ref="Q3:Q4"/>
    <mergeCell ref="R3:R4"/>
    <mergeCell ref="S3:S4"/>
    <mergeCell ref="T3:T4"/>
    <mergeCell ref="N3:N4"/>
    <mergeCell ref="V3:V4"/>
    <mergeCell ref="W3:W4"/>
    <mergeCell ref="A3:A4"/>
  </mergeCells>
  <printOptions horizontalCentered="1"/>
  <pageMargins left="0.39370078740157483" right="0" top="0" bottom="0" header="0.23622047244094491" footer="0.11811023622047245"/>
  <pageSetup paperSize="8" scale="86" fitToHeight="6" orientation="landscape" horizontalDpi="300" verticalDpi="300" r:id="rId1"/>
  <headerFooter alignWithMargins="0"/>
  <rowBreaks count="1" manualBreakCount="1">
    <brk id="75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2021-10-04T05:27:55Z</cp:lastPrinted>
  <dcterms:created xsi:type="dcterms:W3CDTF">1996-10-08T23:32:33Z</dcterms:created>
  <dcterms:modified xsi:type="dcterms:W3CDTF">2021-10-04T05:49:10Z</dcterms:modified>
</cp:coreProperties>
</file>